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apavv-my.sharepoint.com/personal/marko_teiva_tapa_ee/Documents/Töölaud/Arenegukava/2023/16.02.2024/"/>
    </mc:Choice>
  </mc:AlternateContent>
  <xr:revisionPtr revIDLastSave="0" documentId="8_{C4289777-68D0-4C03-94A1-D84D1FB029AC}" xr6:coauthVersionLast="47" xr6:coauthVersionMax="47" xr10:uidLastSave="{00000000-0000-0000-0000-000000000000}"/>
  <bookViews>
    <workbookView xWindow="-108" yWindow="-108" windowWidth="30936" windowHeight="16896" activeTab="1" xr2:uid="{9CA2A4BE-325C-42C6-B045-2BAC28606451}"/>
  </bookViews>
  <sheets>
    <sheet name="Strateegia vorm KOV" sheetId="2" r:id="rId1"/>
    <sheet name="Strateegia vorm sõltuv üksus" sheetId="4" r:id="rId2"/>
    <sheet name="Strateegia vorm arvestusüksus" sheetId="1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4" i="4" l="1"/>
  <c r="G264" i="4"/>
  <c r="F264" i="4"/>
  <c r="E264" i="4"/>
  <c r="D264" i="4"/>
  <c r="C264" i="4"/>
  <c r="B264" i="4"/>
  <c r="H259" i="4"/>
  <c r="G259" i="4"/>
  <c r="F259" i="4"/>
  <c r="E259" i="4"/>
  <c r="D259" i="4"/>
  <c r="C259" i="4"/>
  <c r="B259" i="4"/>
  <c r="H258" i="4"/>
  <c r="G258" i="4"/>
  <c r="F258" i="4"/>
  <c r="E258" i="4"/>
  <c r="D258" i="4"/>
  <c r="C258" i="4"/>
  <c r="B258" i="4"/>
  <c r="H257" i="4"/>
  <c r="G257" i="4"/>
  <c r="F257" i="4"/>
  <c r="E257" i="4"/>
  <c r="D257" i="4"/>
  <c r="C257" i="4"/>
  <c r="B257" i="4"/>
  <c r="B256" i="4"/>
  <c r="B260" i="4" s="1"/>
  <c r="B255" i="4"/>
  <c r="H253" i="4"/>
  <c r="G253" i="4"/>
  <c r="F253" i="4"/>
  <c r="E253" i="4"/>
  <c r="D253" i="4"/>
  <c r="C253" i="4"/>
  <c r="B253" i="4"/>
  <c r="H252" i="4"/>
  <c r="G252" i="4"/>
  <c r="F252" i="4"/>
  <c r="E252" i="4"/>
  <c r="D252" i="4"/>
  <c r="C252" i="4"/>
  <c r="B252" i="4"/>
  <c r="H251" i="4"/>
  <c r="G251" i="4"/>
  <c r="F251" i="4"/>
  <c r="E251" i="4"/>
  <c r="D251" i="4"/>
  <c r="C251" i="4"/>
  <c r="B251" i="4"/>
  <c r="H249" i="4"/>
  <c r="G249" i="4"/>
  <c r="F249" i="4"/>
  <c r="E249" i="4"/>
  <c r="D249" i="4"/>
  <c r="C249" i="4"/>
  <c r="B249" i="4"/>
  <c r="H247" i="4"/>
  <c r="G247" i="4"/>
  <c r="F247" i="4"/>
  <c r="E247" i="4"/>
  <c r="D247" i="4"/>
  <c r="C247" i="4"/>
  <c r="B247" i="4"/>
  <c r="H246" i="4"/>
  <c r="G246" i="4"/>
  <c r="F246" i="4"/>
  <c r="E246" i="4"/>
  <c r="D246" i="4"/>
  <c r="C246" i="4"/>
  <c r="B246" i="4"/>
  <c r="H245" i="4"/>
  <c r="G245" i="4"/>
  <c r="F245" i="4"/>
  <c r="E245" i="4"/>
  <c r="D245" i="4"/>
  <c r="C245" i="4"/>
  <c r="B245" i="4"/>
  <c r="H244" i="4"/>
  <c r="G244" i="4"/>
  <c r="F244" i="4"/>
  <c r="E244" i="4"/>
  <c r="D244" i="4"/>
  <c r="C244" i="4"/>
  <c r="B244" i="4"/>
  <c r="H243" i="4"/>
  <c r="G243" i="4"/>
  <c r="F243" i="4"/>
  <c r="E243" i="4"/>
  <c r="D243" i="4"/>
  <c r="C243" i="4"/>
  <c r="B243" i="4"/>
  <c r="H242" i="4"/>
  <c r="H248" i="4" s="1"/>
  <c r="G242" i="4"/>
  <c r="G248" i="4" s="1"/>
  <c r="G250" i="4" s="1"/>
  <c r="F242" i="4"/>
  <c r="F248" i="4" s="1"/>
  <c r="F250" i="4" s="1"/>
  <c r="F263" i="4" s="1"/>
  <c r="E242" i="4"/>
  <c r="D242" i="4"/>
  <c r="D248" i="4" s="1"/>
  <c r="C242" i="4"/>
  <c r="C248" i="4" s="1"/>
  <c r="C250" i="4" s="1"/>
  <c r="B242" i="4"/>
  <c r="B248" i="4" s="1"/>
  <c r="B250" i="4" s="1"/>
  <c r="B263" i="4" s="1"/>
  <c r="B238" i="4"/>
  <c r="B239" i="4" s="1"/>
  <c r="C234" i="4"/>
  <c r="D234" i="4" s="1"/>
  <c r="C233" i="4"/>
  <c r="D233" i="4" s="1"/>
  <c r="E233" i="4" s="1"/>
  <c r="F233" i="4" s="1"/>
  <c r="G233" i="4" s="1"/>
  <c r="H233" i="4" s="1"/>
  <c r="H226" i="4"/>
  <c r="H228" i="4" s="1"/>
  <c r="H240" i="4" s="1"/>
  <c r="G226" i="4"/>
  <c r="G228" i="4" s="1"/>
  <c r="G240" i="4" s="1"/>
  <c r="F226" i="4"/>
  <c r="F228" i="4" s="1"/>
  <c r="F240" i="4" s="1"/>
  <c r="E226" i="4"/>
  <c r="E228" i="4" s="1"/>
  <c r="E240" i="4" s="1"/>
  <c r="D226" i="4"/>
  <c r="D228" i="4" s="1"/>
  <c r="D240" i="4" s="1"/>
  <c r="C226" i="4"/>
  <c r="C228" i="4" s="1"/>
  <c r="C240" i="4" s="1"/>
  <c r="B226" i="4"/>
  <c r="B228" i="4" s="1"/>
  <c r="B240" i="4" s="1"/>
  <c r="B215" i="4"/>
  <c r="B214" i="4"/>
  <c r="C210" i="4"/>
  <c r="D210" i="4" s="1"/>
  <c r="C209" i="4"/>
  <c r="D209" i="4" s="1"/>
  <c r="E209" i="4" s="1"/>
  <c r="F209" i="4" s="1"/>
  <c r="G209" i="4" s="1"/>
  <c r="H209" i="4" s="1"/>
  <c r="H202" i="4"/>
  <c r="H204" i="4" s="1"/>
  <c r="H216" i="4" s="1"/>
  <c r="G202" i="4"/>
  <c r="G204" i="4" s="1"/>
  <c r="G216" i="4" s="1"/>
  <c r="F202" i="4"/>
  <c r="F204" i="4" s="1"/>
  <c r="F216" i="4" s="1"/>
  <c r="E202" i="4"/>
  <c r="E204" i="4" s="1"/>
  <c r="E216" i="4" s="1"/>
  <c r="D202" i="4"/>
  <c r="D204" i="4" s="1"/>
  <c r="D216" i="4" s="1"/>
  <c r="C202" i="4"/>
  <c r="C204" i="4" s="1"/>
  <c r="C216" i="4" s="1"/>
  <c r="B202" i="4"/>
  <c r="B204" i="4" s="1"/>
  <c r="B216" i="4" s="1"/>
  <c r="B190" i="4"/>
  <c r="B191" i="4" s="1"/>
  <c r="C186" i="4"/>
  <c r="C185" i="4"/>
  <c r="D185" i="4" s="1"/>
  <c r="E185" i="4" s="1"/>
  <c r="F185" i="4" s="1"/>
  <c r="G185" i="4" s="1"/>
  <c r="H185" i="4" s="1"/>
  <c r="C180" i="4"/>
  <c r="C192" i="4" s="1"/>
  <c r="H178" i="4"/>
  <c r="H180" i="4" s="1"/>
  <c r="H192" i="4" s="1"/>
  <c r="G178" i="4"/>
  <c r="G180" i="4" s="1"/>
  <c r="G192" i="4" s="1"/>
  <c r="F178" i="4"/>
  <c r="F180" i="4" s="1"/>
  <c r="F192" i="4" s="1"/>
  <c r="E178" i="4"/>
  <c r="E180" i="4" s="1"/>
  <c r="E192" i="4" s="1"/>
  <c r="D178" i="4"/>
  <c r="D180" i="4" s="1"/>
  <c r="D192" i="4" s="1"/>
  <c r="C178" i="4"/>
  <c r="B178" i="4"/>
  <c r="B180" i="4" s="1"/>
  <c r="B192" i="4" s="1"/>
  <c r="B167" i="4"/>
  <c r="C166" i="4"/>
  <c r="C167" i="4" s="1"/>
  <c r="B166" i="4"/>
  <c r="C162" i="4"/>
  <c r="D162" i="4" s="1"/>
  <c r="E162" i="4" s="1"/>
  <c r="D161" i="4"/>
  <c r="E161" i="4" s="1"/>
  <c r="F161" i="4" s="1"/>
  <c r="G161" i="4" s="1"/>
  <c r="H161" i="4" s="1"/>
  <c r="C161" i="4"/>
  <c r="D156" i="4"/>
  <c r="D168" i="4" s="1"/>
  <c r="H154" i="4"/>
  <c r="H156" i="4" s="1"/>
  <c r="H168" i="4" s="1"/>
  <c r="G154" i="4"/>
  <c r="G156" i="4" s="1"/>
  <c r="G168" i="4" s="1"/>
  <c r="F154" i="4"/>
  <c r="F156" i="4" s="1"/>
  <c r="F168" i="4" s="1"/>
  <c r="E154" i="4"/>
  <c r="E156" i="4" s="1"/>
  <c r="E168" i="4" s="1"/>
  <c r="D154" i="4"/>
  <c r="C154" i="4"/>
  <c r="C156" i="4" s="1"/>
  <c r="C168" i="4" s="1"/>
  <c r="B154" i="4"/>
  <c r="B156" i="4" s="1"/>
  <c r="B168" i="4" s="1"/>
  <c r="B142" i="4"/>
  <c r="B143" i="4" s="1"/>
  <c r="C138" i="4"/>
  <c r="D138" i="4" s="1"/>
  <c r="C137" i="4"/>
  <c r="D137" i="4" s="1"/>
  <c r="E137" i="4" s="1"/>
  <c r="F137" i="4" s="1"/>
  <c r="G137" i="4" s="1"/>
  <c r="H137" i="4" s="1"/>
  <c r="E132" i="4"/>
  <c r="E144" i="4" s="1"/>
  <c r="H130" i="4"/>
  <c r="H132" i="4" s="1"/>
  <c r="H144" i="4" s="1"/>
  <c r="G130" i="4"/>
  <c r="G132" i="4" s="1"/>
  <c r="G144" i="4" s="1"/>
  <c r="F130" i="4"/>
  <c r="F132" i="4" s="1"/>
  <c r="F144" i="4" s="1"/>
  <c r="E130" i="4"/>
  <c r="D130" i="4"/>
  <c r="D132" i="4" s="1"/>
  <c r="D144" i="4" s="1"/>
  <c r="C130" i="4"/>
  <c r="C132" i="4" s="1"/>
  <c r="C144" i="4" s="1"/>
  <c r="B130" i="4"/>
  <c r="B132" i="4" s="1"/>
  <c r="B144" i="4" s="1"/>
  <c r="B118" i="4"/>
  <c r="B119" i="4" s="1"/>
  <c r="D114" i="4"/>
  <c r="C114" i="4"/>
  <c r="C113" i="4"/>
  <c r="C118" i="4" s="1"/>
  <c r="C119" i="4" s="1"/>
  <c r="H108" i="4"/>
  <c r="H120" i="4" s="1"/>
  <c r="D108" i="4"/>
  <c r="D120" i="4" s="1"/>
  <c r="H106" i="4"/>
  <c r="G106" i="4"/>
  <c r="G108" i="4" s="1"/>
  <c r="G120" i="4" s="1"/>
  <c r="F106" i="4"/>
  <c r="F108" i="4" s="1"/>
  <c r="F120" i="4" s="1"/>
  <c r="E106" i="4"/>
  <c r="E108" i="4" s="1"/>
  <c r="E120" i="4" s="1"/>
  <c r="D106" i="4"/>
  <c r="C106" i="4"/>
  <c r="C108" i="4" s="1"/>
  <c r="C120" i="4" s="1"/>
  <c r="B106" i="4"/>
  <c r="B108" i="4" s="1"/>
  <c r="B120" i="4" s="1"/>
  <c r="B94" i="4"/>
  <c r="B95" i="4" s="1"/>
  <c r="C90" i="4"/>
  <c r="C89" i="4"/>
  <c r="D89" i="4" s="1"/>
  <c r="E89" i="4" s="1"/>
  <c r="F89" i="4" s="1"/>
  <c r="G89" i="4" s="1"/>
  <c r="H89" i="4" s="1"/>
  <c r="H82" i="4"/>
  <c r="H84" i="4" s="1"/>
  <c r="H96" i="4" s="1"/>
  <c r="G82" i="4"/>
  <c r="G84" i="4" s="1"/>
  <c r="G96" i="4" s="1"/>
  <c r="F82" i="4"/>
  <c r="F84" i="4" s="1"/>
  <c r="F96" i="4" s="1"/>
  <c r="E82" i="4"/>
  <c r="E84" i="4" s="1"/>
  <c r="E96" i="4" s="1"/>
  <c r="D82" i="4"/>
  <c r="D84" i="4" s="1"/>
  <c r="D96" i="4" s="1"/>
  <c r="C82" i="4"/>
  <c r="C84" i="4" s="1"/>
  <c r="C96" i="4" s="1"/>
  <c r="B82" i="4"/>
  <c r="B84" i="4" s="1"/>
  <c r="B96" i="4" s="1"/>
  <c r="B70" i="4"/>
  <c r="B71" i="4" s="1"/>
  <c r="C66" i="4"/>
  <c r="D66" i="4" s="1"/>
  <c r="C65" i="4"/>
  <c r="D65" i="4" s="1"/>
  <c r="E65" i="4" s="1"/>
  <c r="F65" i="4" s="1"/>
  <c r="G65" i="4" s="1"/>
  <c r="H65" i="4" s="1"/>
  <c r="B60" i="4"/>
  <c r="B72" i="4" s="1"/>
  <c r="H58" i="4"/>
  <c r="H60" i="4" s="1"/>
  <c r="H72" i="4" s="1"/>
  <c r="G58" i="4"/>
  <c r="G60" i="4" s="1"/>
  <c r="G72" i="4" s="1"/>
  <c r="F58" i="4"/>
  <c r="F60" i="4" s="1"/>
  <c r="F72" i="4" s="1"/>
  <c r="E58" i="4"/>
  <c r="E60" i="4" s="1"/>
  <c r="E72" i="4" s="1"/>
  <c r="D58" i="4"/>
  <c r="D60" i="4" s="1"/>
  <c r="D72" i="4" s="1"/>
  <c r="C58" i="4"/>
  <c r="C60" i="4" s="1"/>
  <c r="C72" i="4" s="1"/>
  <c r="B58" i="4"/>
  <c r="B46" i="4"/>
  <c r="B47" i="4" s="1"/>
  <c r="C42" i="4"/>
  <c r="D42" i="4" s="1"/>
  <c r="C41" i="4"/>
  <c r="F36" i="4"/>
  <c r="F48" i="4" s="1"/>
  <c r="E36" i="4"/>
  <c r="E48" i="4" s="1"/>
  <c r="H34" i="4"/>
  <c r="H36" i="4" s="1"/>
  <c r="H48" i="4" s="1"/>
  <c r="G34" i="4"/>
  <c r="G36" i="4" s="1"/>
  <c r="G48" i="4" s="1"/>
  <c r="F34" i="4"/>
  <c r="E34" i="4"/>
  <c r="D34" i="4"/>
  <c r="D36" i="4" s="1"/>
  <c r="D48" i="4" s="1"/>
  <c r="C34" i="4"/>
  <c r="C36" i="4" s="1"/>
  <c r="C48" i="4" s="1"/>
  <c r="B34" i="4"/>
  <c r="B36" i="4" s="1"/>
  <c r="B48" i="4" s="1"/>
  <c r="B22" i="4"/>
  <c r="B23" i="4" s="1"/>
  <c r="D18" i="4"/>
  <c r="C18" i="4"/>
  <c r="C17" i="4"/>
  <c r="H12" i="4"/>
  <c r="H24" i="4" s="1"/>
  <c r="E12" i="4"/>
  <c r="E24" i="4" s="1"/>
  <c r="D12" i="4"/>
  <c r="D24" i="4" s="1"/>
  <c r="H10" i="4"/>
  <c r="G10" i="4"/>
  <c r="G12" i="4" s="1"/>
  <c r="G24" i="4" s="1"/>
  <c r="F10" i="4"/>
  <c r="F12" i="4" s="1"/>
  <c r="F24" i="4" s="1"/>
  <c r="E10" i="4"/>
  <c r="D10" i="4"/>
  <c r="C10" i="4"/>
  <c r="C12" i="4" s="1"/>
  <c r="C24" i="4" s="1"/>
  <c r="B10" i="4"/>
  <c r="B12" i="4" s="1"/>
  <c r="B24" i="4" s="1"/>
  <c r="H180" i="2"/>
  <c r="G180" i="2"/>
  <c r="G178" i="2" s="1"/>
  <c r="F180" i="2"/>
  <c r="E180" i="2"/>
  <c r="C180" i="2"/>
  <c r="H179" i="2"/>
  <c r="G179" i="2"/>
  <c r="F179" i="2"/>
  <c r="F178" i="2" s="1"/>
  <c r="E179" i="2"/>
  <c r="E178" i="2" s="1"/>
  <c r="D179" i="2"/>
  <c r="H178" i="2"/>
  <c r="H175" i="2"/>
  <c r="G175" i="2"/>
  <c r="F175" i="2"/>
  <c r="E175" i="2"/>
  <c r="D175" i="2"/>
  <c r="C175" i="2"/>
  <c r="H172" i="2"/>
  <c r="G172" i="2"/>
  <c r="F172" i="2"/>
  <c r="E172" i="2"/>
  <c r="D172" i="2"/>
  <c r="C172" i="2"/>
  <c r="H169" i="2"/>
  <c r="G169" i="2"/>
  <c r="F169" i="2"/>
  <c r="E169" i="2"/>
  <c r="D169" i="2"/>
  <c r="C169" i="2"/>
  <c r="H166" i="2"/>
  <c r="G166" i="2"/>
  <c r="F166" i="2"/>
  <c r="E166" i="2"/>
  <c r="D166" i="2"/>
  <c r="C166" i="2"/>
  <c r="H163" i="2"/>
  <c r="G163" i="2"/>
  <c r="F163" i="2"/>
  <c r="E163" i="2"/>
  <c r="D163" i="2"/>
  <c r="C163" i="2"/>
  <c r="H160" i="2"/>
  <c r="G160" i="2"/>
  <c r="F160" i="2"/>
  <c r="E160" i="2"/>
  <c r="D160" i="2"/>
  <c r="C160" i="2"/>
  <c r="H157" i="2"/>
  <c r="G157" i="2"/>
  <c r="F157" i="2"/>
  <c r="E157" i="2"/>
  <c r="D157" i="2"/>
  <c r="C157" i="2"/>
  <c r="H154" i="2"/>
  <c r="G154" i="2"/>
  <c r="F154" i="2"/>
  <c r="E154" i="2"/>
  <c r="D154" i="2"/>
  <c r="C154" i="2"/>
  <c r="H151" i="2"/>
  <c r="G151" i="2"/>
  <c r="F151" i="2"/>
  <c r="E151" i="2"/>
  <c r="D151" i="2"/>
  <c r="C151" i="2"/>
  <c r="H148" i="2"/>
  <c r="G148" i="2"/>
  <c r="F148" i="2"/>
  <c r="E148" i="2"/>
  <c r="D148" i="2"/>
  <c r="C148" i="2"/>
  <c r="H145" i="2"/>
  <c r="G145" i="2"/>
  <c r="F145" i="2"/>
  <c r="E145" i="2"/>
  <c r="D145" i="2"/>
  <c r="C145" i="2"/>
  <c r="H142" i="2"/>
  <c r="G142" i="2"/>
  <c r="F142" i="2"/>
  <c r="E142" i="2"/>
  <c r="D142" i="2"/>
  <c r="C142" i="2"/>
  <c r="H139" i="2"/>
  <c r="G139" i="2"/>
  <c r="F139" i="2"/>
  <c r="E139" i="2"/>
  <c r="D139" i="2"/>
  <c r="C139" i="2"/>
  <c r="D138" i="2"/>
  <c r="D81" i="2" s="1"/>
  <c r="H136" i="2"/>
  <c r="G136" i="2"/>
  <c r="F136" i="2"/>
  <c r="E136" i="2"/>
  <c r="D136" i="2"/>
  <c r="C136" i="2"/>
  <c r="H133" i="2"/>
  <c r="G133" i="2"/>
  <c r="F133" i="2"/>
  <c r="E133" i="2"/>
  <c r="D133" i="2"/>
  <c r="C133" i="2"/>
  <c r="H130" i="2"/>
  <c r="G130" i="2"/>
  <c r="F130" i="2"/>
  <c r="E130" i="2"/>
  <c r="D130" i="2"/>
  <c r="C130" i="2"/>
  <c r="H127" i="2"/>
  <c r="G127" i="2"/>
  <c r="F127" i="2"/>
  <c r="E127" i="2"/>
  <c r="D127" i="2"/>
  <c r="C127" i="2"/>
  <c r="H124" i="2"/>
  <c r="G124" i="2"/>
  <c r="F124" i="2"/>
  <c r="E124" i="2"/>
  <c r="D124" i="2"/>
  <c r="C124" i="2"/>
  <c r="H121" i="2"/>
  <c r="G121" i="2"/>
  <c r="F121" i="2"/>
  <c r="E121" i="2"/>
  <c r="D121" i="2"/>
  <c r="C121" i="2"/>
  <c r="H118" i="2"/>
  <c r="G118" i="2"/>
  <c r="F118" i="2"/>
  <c r="E118" i="2"/>
  <c r="D118" i="2"/>
  <c r="C118" i="2"/>
  <c r="H115" i="2"/>
  <c r="G115" i="2"/>
  <c r="F115" i="2"/>
  <c r="E115" i="2"/>
  <c r="D115" i="2"/>
  <c r="C115" i="2"/>
  <c r="H112" i="2"/>
  <c r="G112" i="2"/>
  <c r="F112" i="2"/>
  <c r="E112" i="2"/>
  <c r="D112" i="2"/>
  <c r="C112" i="2"/>
  <c r="C110" i="2"/>
  <c r="C179" i="2" s="1"/>
  <c r="C178" i="2" s="1"/>
  <c r="H109" i="2"/>
  <c r="G109" i="2"/>
  <c r="F109" i="2"/>
  <c r="E109" i="2"/>
  <c r="D109" i="2"/>
  <c r="C109" i="2"/>
  <c r="H106" i="2"/>
  <c r="G106" i="2"/>
  <c r="F106" i="2"/>
  <c r="E106" i="2"/>
  <c r="D106" i="2"/>
  <c r="C106" i="2"/>
  <c r="H103" i="2"/>
  <c r="G103" i="2"/>
  <c r="F103" i="2"/>
  <c r="E103" i="2"/>
  <c r="D103" i="2"/>
  <c r="C103" i="2"/>
  <c r="H100" i="2"/>
  <c r="G100" i="2"/>
  <c r="F100" i="2"/>
  <c r="E100" i="2"/>
  <c r="D100" i="2"/>
  <c r="C100" i="2"/>
  <c r="C99" i="2"/>
  <c r="C97" i="2" s="1"/>
  <c r="H97" i="2"/>
  <c r="G97" i="2"/>
  <c r="F97" i="2"/>
  <c r="E97" i="2"/>
  <c r="D97" i="2"/>
  <c r="C96" i="2"/>
  <c r="H94" i="2"/>
  <c r="G94" i="2"/>
  <c r="F94" i="2"/>
  <c r="E94" i="2"/>
  <c r="D94" i="2"/>
  <c r="C94" i="2"/>
  <c r="H87" i="2"/>
  <c r="G87" i="2"/>
  <c r="F87" i="2"/>
  <c r="E87" i="2"/>
  <c r="E85" i="2" s="1"/>
  <c r="D87" i="2"/>
  <c r="C87" i="2"/>
  <c r="H86" i="2"/>
  <c r="H85" i="2" s="1"/>
  <c r="G86" i="2"/>
  <c r="G85" i="2" s="1"/>
  <c r="F86" i="2"/>
  <c r="E86" i="2"/>
  <c r="D86" i="2"/>
  <c r="D85" i="2" s="1"/>
  <c r="C86" i="2"/>
  <c r="C85" i="2" s="1"/>
  <c r="F85" i="2"/>
  <c r="H84" i="2"/>
  <c r="G84" i="2"/>
  <c r="F84" i="2"/>
  <c r="E84" i="2"/>
  <c r="D84" i="2"/>
  <c r="C84" i="2"/>
  <c r="C82" i="2" s="1"/>
  <c r="H83" i="2"/>
  <c r="G83" i="2"/>
  <c r="F83" i="2"/>
  <c r="F82" i="2" s="1"/>
  <c r="E83" i="2"/>
  <c r="E82" i="2" s="1"/>
  <c r="D83" i="2"/>
  <c r="C83" i="2"/>
  <c r="H82" i="2"/>
  <c r="G82" i="2"/>
  <c r="D82" i="2"/>
  <c r="H81" i="2"/>
  <c r="G81" i="2"/>
  <c r="F81" i="2"/>
  <c r="E81" i="2"/>
  <c r="C81" i="2"/>
  <c r="H80" i="2"/>
  <c r="H79" i="2" s="1"/>
  <c r="G80" i="2"/>
  <c r="G79" i="2" s="1"/>
  <c r="F80" i="2"/>
  <c r="E80" i="2"/>
  <c r="D80" i="2"/>
  <c r="D79" i="2" s="1"/>
  <c r="C80" i="2"/>
  <c r="C79" i="2" s="1"/>
  <c r="F79" i="2"/>
  <c r="E79" i="2"/>
  <c r="H78" i="2"/>
  <c r="H90" i="2" s="1"/>
  <c r="H24" i="2" s="1"/>
  <c r="H52" i="2" s="1"/>
  <c r="G78" i="2"/>
  <c r="G90" i="2" s="1"/>
  <c r="G24" i="2" s="1"/>
  <c r="G52" i="2" s="1"/>
  <c r="F78" i="2"/>
  <c r="E78" i="2"/>
  <c r="D78" i="2"/>
  <c r="D90" i="2" s="1"/>
  <c r="D24" i="2" s="1"/>
  <c r="D52" i="2" s="1"/>
  <c r="C78" i="2"/>
  <c r="C76" i="2" s="1"/>
  <c r="H77" i="2"/>
  <c r="G77" i="2"/>
  <c r="F77" i="2"/>
  <c r="F76" i="2" s="1"/>
  <c r="E77" i="2"/>
  <c r="E76" i="2" s="1"/>
  <c r="D77" i="2"/>
  <c r="C77" i="2"/>
  <c r="H76" i="2"/>
  <c r="G76" i="2"/>
  <c r="D76" i="2"/>
  <c r="H75" i="2"/>
  <c r="G75" i="2"/>
  <c r="F75" i="2"/>
  <c r="E75" i="2"/>
  <c r="D75" i="2"/>
  <c r="C75" i="2"/>
  <c r="H74" i="2"/>
  <c r="H73" i="2" s="1"/>
  <c r="G74" i="2"/>
  <c r="G73" i="2" s="1"/>
  <c r="F74" i="2"/>
  <c r="E74" i="2"/>
  <c r="D74" i="2"/>
  <c r="D73" i="2" s="1"/>
  <c r="C74" i="2"/>
  <c r="C73" i="2" s="1"/>
  <c r="F73" i="2"/>
  <c r="E73" i="2"/>
  <c r="H70" i="2"/>
  <c r="G70" i="2"/>
  <c r="F70" i="2"/>
  <c r="E70" i="2"/>
  <c r="D70" i="2"/>
  <c r="C70" i="2"/>
  <c r="H69" i="2"/>
  <c r="G69" i="2"/>
  <c r="F69" i="2"/>
  <c r="F90" i="2" s="1"/>
  <c r="E69" i="2"/>
  <c r="D69" i="2"/>
  <c r="H68" i="2"/>
  <c r="H89" i="2" s="1"/>
  <c r="H88" i="2" s="1"/>
  <c r="G68" i="2"/>
  <c r="F68" i="2"/>
  <c r="E68" i="2"/>
  <c r="D68" i="2"/>
  <c r="D89" i="2" s="1"/>
  <c r="D88" i="2" s="1"/>
  <c r="C68" i="2"/>
  <c r="F67" i="2"/>
  <c r="E67" i="2"/>
  <c r="C66" i="2"/>
  <c r="C65" i="2"/>
  <c r="H64" i="2"/>
  <c r="G64" i="2"/>
  <c r="F64" i="2"/>
  <c r="E64" i="2"/>
  <c r="D64" i="2"/>
  <c r="H61" i="2"/>
  <c r="G61" i="2"/>
  <c r="F61" i="2"/>
  <c r="E61" i="2"/>
  <c r="D61" i="2"/>
  <c r="C61" i="2"/>
  <c r="H58" i="2"/>
  <c r="G58" i="2"/>
  <c r="F58" i="2"/>
  <c r="E58" i="2"/>
  <c r="D58" i="2"/>
  <c r="C58" i="2"/>
  <c r="C44" i="2"/>
  <c r="B44" i="2"/>
  <c r="B42" i="2"/>
  <c r="B45" i="2" s="1"/>
  <c r="B41" i="2"/>
  <c r="C40" i="2"/>
  <c r="H38" i="2"/>
  <c r="G38" i="2"/>
  <c r="F38" i="2"/>
  <c r="E38" i="2"/>
  <c r="D38" i="2"/>
  <c r="C38" i="2"/>
  <c r="B38" i="2"/>
  <c r="C37" i="2"/>
  <c r="B37" i="2"/>
  <c r="H36" i="2"/>
  <c r="G36" i="2"/>
  <c r="G34" i="2" s="1"/>
  <c r="F36" i="2"/>
  <c r="F34" i="2" s="1"/>
  <c r="E36" i="2"/>
  <c r="C36" i="2"/>
  <c r="B36" i="2"/>
  <c r="C35" i="2"/>
  <c r="C34" i="2" s="1"/>
  <c r="B35" i="2"/>
  <c r="H34" i="2"/>
  <c r="E34" i="2"/>
  <c r="D34" i="2"/>
  <c r="B34" i="2"/>
  <c r="H32" i="2"/>
  <c r="G32" i="2"/>
  <c r="F32" i="2"/>
  <c r="E32" i="2"/>
  <c r="C32" i="2"/>
  <c r="B32" i="2"/>
  <c r="C31" i="2"/>
  <c r="B31" i="2"/>
  <c r="C30" i="2"/>
  <c r="B30" i="2"/>
  <c r="C29" i="2"/>
  <c r="B29" i="2"/>
  <c r="C28" i="2"/>
  <c r="B28" i="2"/>
  <c r="C27" i="2"/>
  <c r="B27" i="2"/>
  <c r="C26" i="2"/>
  <c r="B26" i="2"/>
  <c r="C25" i="2"/>
  <c r="C21" i="2" s="1"/>
  <c r="B25" i="2"/>
  <c r="F24" i="2"/>
  <c r="F52" i="2" s="1"/>
  <c r="C23" i="2"/>
  <c r="B23" i="2"/>
  <c r="B24" i="2" s="1"/>
  <c r="B52" i="2" s="1"/>
  <c r="C22" i="2"/>
  <c r="B22" i="2"/>
  <c r="C19" i="2"/>
  <c r="B19" i="2"/>
  <c r="I17" i="2"/>
  <c r="E17" i="2"/>
  <c r="C17" i="2"/>
  <c r="J17" i="2" s="1"/>
  <c r="B17" i="2"/>
  <c r="E16" i="2"/>
  <c r="C16" i="2"/>
  <c r="J16" i="2" s="1"/>
  <c r="B16" i="2"/>
  <c r="D15" i="2"/>
  <c r="B15" i="2"/>
  <c r="B13" i="2" s="1"/>
  <c r="C14" i="2"/>
  <c r="B14" i="2"/>
  <c r="D13" i="2"/>
  <c r="C12" i="2"/>
  <c r="B12" i="2"/>
  <c r="C11" i="2"/>
  <c r="B11" i="2"/>
  <c r="F10" i="2"/>
  <c r="G10" i="2" s="1"/>
  <c r="E10" i="2"/>
  <c r="C10" i="2"/>
  <c r="B10" i="2"/>
  <c r="C9" i="2"/>
  <c r="B9" i="2"/>
  <c r="E8" i="2"/>
  <c r="D8" i="2"/>
  <c r="C8" i="2"/>
  <c r="C2" i="2" s="1"/>
  <c r="B8" i="2"/>
  <c r="E7" i="2"/>
  <c r="C7" i="2"/>
  <c r="B7" i="2"/>
  <c r="C6" i="2"/>
  <c r="C3" i="2" s="1"/>
  <c r="B6" i="2"/>
  <c r="C5" i="2"/>
  <c r="B5" i="2"/>
  <c r="K4" i="2"/>
  <c r="J4" i="2"/>
  <c r="G4" i="2"/>
  <c r="F4" i="2"/>
  <c r="E4" i="2"/>
  <c r="C4" i="2"/>
  <c r="B4" i="2"/>
  <c r="B3" i="2" s="1"/>
  <c r="B2" i="2" s="1"/>
  <c r="B55" i="2" s="1"/>
  <c r="E3" i="2"/>
  <c r="E2" i="2" s="1"/>
  <c r="D3" i="2"/>
  <c r="D2" i="2" s="1"/>
  <c r="I17" i="1"/>
  <c r="H14" i="1"/>
  <c r="H9" i="1"/>
  <c r="H8" i="1"/>
  <c r="H6" i="1"/>
  <c r="B14" i="1"/>
  <c r="D14" i="1"/>
  <c r="E14" i="1"/>
  <c r="F14" i="1"/>
  <c r="G14" i="1"/>
  <c r="B12" i="1"/>
  <c r="C9" i="1"/>
  <c r="D9" i="1"/>
  <c r="E9" i="1"/>
  <c r="F9" i="1"/>
  <c r="G9" i="1"/>
  <c r="C8" i="1"/>
  <c r="D8" i="1"/>
  <c r="E8" i="1"/>
  <c r="F8" i="1"/>
  <c r="G8" i="1"/>
  <c r="B8" i="1"/>
  <c r="C6" i="1"/>
  <c r="D6" i="1"/>
  <c r="E6" i="1"/>
  <c r="F6" i="1"/>
  <c r="G6" i="1"/>
  <c r="B6" i="1"/>
  <c r="C190" i="4" l="1"/>
  <c r="C191" i="4" s="1"/>
  <c r="G263" i="4"/>
  <c r="C22" i="4"/>
  <c r="C23" i="4" s="1"/>
  <c r="C94" i="4"/>
  <c r="C95" i="4" s="1"/>
  <c r="D113" i="4"/>
  <c r="E113" i="4" s="1"/>
  <c r="F113" i="4" s="1"/>
  <c r="G113" i="4" s="1"/>
  <c r="H113" i="4" s="1"/>
  <c r="D250" i="4"/>
  <c r="D263" i="4" s="1"/>
  <c r="H250" i="4"/>
  <c r="H263" i="4" s="1"/>
  <c r="C255" i="4"/>
  <c r="D255" i="4" s="1"/>
  <c r="E255" i="4" s="1"/>
  <c r="F255" i="4" s="1"/>
  <c r="G255" i="4" s="1"/>
  <c r="H255" i="4" s="1"/>
  <c r="C214" i="4"/>
  <c r="C215" i="4" s="1"/>
  <c r="C263" i="4"/>
  <c r="C256" i="4"/>
  <c r="C260" i="4" s="1"/>
  <c r="C261" i="4" s="1"/>
  <c r="C46" i="4"/>
  <c r="C47" i="4" s="1"/>
  <c r="E248" i="4"/>
  <c r="E250" i="4" s="1"/>
  <c r="E263" i="4" s="1"/>
  <c r="B261" i="4"/>
  <c r="E42" i="4"/>
  <c r="E66" i="4"/>
  <c r="D70" i="4"/>
  <c r="D71" i="4" s="1"/>
  <c r="E18" i="4"/>
  <c r="D41" i="4"/>
  <c r="E41" i="4" s="1"/>
  <c r="F41" i="4" s="1"/>
  <c r="G41" i="4" s="1"/>
  <c r="H41" i="4" s="1"/>
  <c r="D17" i="4"/>
  <c r="E17" i="4" s="1"/>
  <c r="F17" i="4" s="1"/>
  <c r="G17" i="4" s="1"/>
  <c r="H17" i="4" s="1"/>
  <c r="D142" i="4"/>
  <c r="D143" i="4" s="1"/>
  <c r="E138" i="4"/>
  <c r="E166" i="4"/>
  <c r="E167" i="4" s="1"/>
  <c r="F162" i="4"/>
  <c r="D214" i="4"/>
  <c r="D215" i="4" s="1"/>
  <c r="D238" i="4"/>
  <c r="D239" i="4" s="1"/>
  <c r="E234" i="4"/>
  <c r="D22" i="4"/>
  <c r="D23" i="4" s="1"/>
  <c r="C70" i="4"/>
  <c r="C71" i="4" s="1"/>
  <c r="D90" i="4"/>
  <c r="E114" i="4"/>
  <c r="C142" i="4"/>
  <c r="C143" i="4" s="1"/>
  <c r="D166" i="4"/>
  <c r="D167" i="4" s="1"/>
  <c r="D186" i="4"/>
  <c r="E210" i="4"/>
  <c r="C238" i="4"/>
  <c r="C239" i="4" s="1"/>
  <c r="H4" i="1"/>
  <c r="D4" i="1"/>
  <c r="F4" i="1"/>
  <c r="E2" i="1"/>
  <c r="B13" i="1"/>
  <c r="B15" i="1" s="1"/>
  <c r="C12" i="1"/>
  <c r="D12" i="1" s="1"/>
  <c r="E12" i="1" s="1"/>
  <c r="F12" i="1" s="1"/>
  <c r="F2" i="1"/>
  <c r="B2" i="1"/>
  <c r="F3" i="1"/>
  <c r="D3" i="1"/>
  <c r="H3" i="1"/>
  <c r="D2" i="1"/>
  <c r="D5" i="1" s="1"/>
  <c r="D7" i="1" s="1"/>
  <c r="D10" i="1" s="1"/>
  <c r="E3" i="1"/>
  <c r="C2" i="1"/>
  <c r="C3" i="1"/>
  <c r="G2" i="1"/>
  <c r="C14" i="1"/>
  <c r="E4" i="1"/>
  <c r="C4" i="1"/>
  <c r="G3" i="1"/>
  <c r="B9" i="1"/>
  <c r="B3" i="1"/>
  <c r="G4" i="1"/>
  <c r="H2" i="1"/>
  <c r="B4" i="1"/>
  <c r="C53" i="2"/>
  <c r="C55" i="2"/>
  <c r="H10" i="2"/>
  <c r="H8" i="2" s="1"/>
  <c r="G8" i="2"/>
  <c r="D20" i="2"/>
  <c r="D55" i="2"/>
  <c r="D53" i="2"/>
  <c r="M4" i="2"/>
  <c r="G3" i="2"/>
  <c r="G2" i="2" s="1"/>
  <c r="H4" i="2"/>
  <c r="D23" i="2"/>
  <c r="K17" i="2"/>
  <c r="F17" i="2"/>
  <c r="H181" i="2"/>
  <c r="H23" i="2"/>
  <c r="I4" i="2"/>
  <c r="D54" i="2"/>
  <c r="K16" i="2"/>
  <c r="E15" i="2"/>
  <c r="E13" i="2" s="1"/>
  <c r="F16" i="2"/>
  <c r="B46" i="2"/>
  <c r="E55" i="2"/>
  <c r="E53" i="2"/>
  <c r="B21" i="2"/>
  <c r="C41" i="2"/>
  <c r="E90" i="2"/>
  <c r="E24" i="2" s="1"/>
  <c r="E52" i="2" s="1"/>
  <c r="L4" i="2"/>
  <c r="F3" i="2"/>
  <c r="F8" i="2"/>
  <c r="C15" i="2"/>
  <c r="C13" i="2" s="1"/>
  <c r="C54" i="2" s="1"/>
  <c r="I16" i="2"/>
  <c r="B20" i="2"/>
  <c r="C89" i="2"/>
  <c r="C88" i="2" s="1"/>
  <c r="C181" i="2" s="1"/>
  <c r="C64" i="2"/>
  <c r="G89" i="2"/>
  <c r="G88" i="2" s="1"/>
  <c r="G67" i="2"/>
  <c r="E89" i="2"/>
  <c r="F89" i="2"/>
  <c r="D180" i="2"/>
  <c r="D178" i="2" s="1"/>
  <c r="D181" i="2" s="1"/>
  <c r="C42" i="2"/>
  <c r="C69" i="2"/>
  <c r="C90" i="2" s="1"/>
  <c r="C24" i="2" s="1"/>
  <c r="C52" i="2" s="1"/>
  <c r="D67" i="2"/>
  <c r="H67" i="2"/>
  <c r="D256" i="4" l="1"/>
  <c r="D260" i="4" s="1"/>
  <c r="D261" i="4" s="1"/>
  <c r="D118" i="4"/>
  <c r="D119" i="4" s="1"/>
  <c r="F166" i="4"/>
  <c r="F167" i="4" s="1"/>
  <c r="G162" i="4"/>
  <c r="F210" i="4"/>
  <c r="E214" i="4"/>
  <c r="E215" i="4" s="1"/>
  <c r="F114" i="4"/>
  <c r="E118" i="4"/>
  <c r="E119" i="4" s="1"/>
  <c r="E238" i="4"/>
  <c r="E239" i="4" s="1"/>
  <c r="F234" i="4"/>
  <c r="E70" i="4"/>
  <c r="E71" i="4" s="1"/>
  <c r="F66" i="4"/>
  <c r="E186" i="4"/>
  <c r="D190" i="4"/>
  <c r="D191" i="4" s="1"/>
  <c r="E90" i="4"/>
  <c r="D94" i="4"/>
  <c r="D95" i="4" s="1"/>
  <c r="E142" i="4"/>
  <c r="E143" i="4" s="1"/>
  <c r="F138" i="4"/>
  <c r="E256" i="4"/>
  <c r="E260" i="4" s="1"/>
  <c r="E261" i="4" s="1"/>
  <c r="F18" i="4"/>
  <c r="E22" i="4"/>
  <c r="E23" i="4" s="1"/>
  <c r="E46" i="4"/>
  <c r="E47" i="4" s="1"/>
  <c r="F42" i="4"/>
  <c r="D46" i="4"/>
  <c r="D47" i="4" s="1"/>
  <c r="E5" i="1"/>
  <c r="E7" i="1" s="1"/>
  <c r="E10" i="1" s="1"/>
  <c r="D17" i="1"/>
  <c r="D18" i="1" s="1"/>
  <c r="F5" i="1"/>
  <c r="F17" i="1" s="1"/>
  <c r="F18" i="1" s="1"/>
  <c r="C5" i="1"/>
  <c r="C7" i="1" s="1"/>
  <c r="C10" i="1" s="1"/>
  <c r="B16" i="1"/>
  <c r="C13" i="1"/>
  <c r="C15" i="1" s="1"/>
  <c r="C16" i="1" s="1"/>
  <c r="H5" i="1"/>
  <c r="G5" i="1"/>
  <c r="B5" i="1"/>
  <c r="G181" i="2"/>
  <c r="G23" i="2"/>
  <c r="B33" i="2"/>
  <c r="B51" i="2" s="1"/>
  <c r="B47" i="2"/>
  <c r="C91" i="2"/>
  <c r="G17" i="2"/>
  <c r="L17" i="2"/>
  <c r="N4" i="2"/>
  <c r="H3" i="2"/>
  <c r="H2" i="2" s="1"/>
  <c r="F88" i="2"/>
  <c r="F25" i="2"/>
  <c r="C67" i="2"/>
  <c r="G16" i="2"/>
  <c r="F15" i="2"/>
  <c r="F13" i="2" s="1"/>
  <c r="F54" i="2" s="1"/>
  <c r="L16" i="2"/>
  <c r="G53" i="2"/>
  <c r="D33" i="2"/>
  <c r="D47" i="2"/>
  <c r="C20" i="2"/>
  <c r="C45" i="2"/>
  <c r="C46" i="2" s="1"/>
  <c r="D42" i="2"/>
  <c r="F2" i="2"/>
  <c r="E88" i="2"/>
  <c r="E25" i="2"/>
  <c r="E54" i="2"/>
  <c r="E20" i="2"/>
  <c r="H91" i="2"/>
  <c r="H21" i="2"/>
  <c r="D91" i="2"/>
  <c r="D21" i="2"/>
  <c r="G12" i="1"/>
  <c r="F186" i="4" l="1"/>
  <c r="E190" i="4"/>
  <c r="E191" i="4" s="1"/>
  <c r="G210" i="4"/>
  <c r="F214" i="4"/>
  <c r="F215" i="4" s="1"/>
  <c r="G18" i="4"/>
  <c r="F22" i="4"/>
  <c r="F23" i="4" s="1"/>
  <c r="F70" i="4"/>
  <c r="F71" i="4" s="1"/>
  <c r="G66" i="4"/>
  <c r="H162" i="4"/>
  <c r="H166" i="4" s="1"/>
  <c r="H167" i="4" s="1"/>
  <c r="G166" i="4"/>
  <c r="G167" i="4" s="1"/>
  <c r="G138" i="4"/>
  <c r="F142" i="4"/>
  <c r="F143" i="4" s="1"/>
  <c r="G234" i="4"/>
  <c r="F238" i="4"/>
  <c r="F239" i="4" s="1"/>
  <c r="G42" i="4"/>
  <c r="F46" i="4"/>
  <c r="F47" i="4" s="1"/>
  <c r="F90" i="4"/>
  <c r="E94" i="4"/>
  <c r="E95" i="4" s="1"/>
  <c r="G114" i="4"/>
  <c r="F118" i="4"/>
  <c r="F119" i="4" s="1"/>
  <c r="F7" i="1"/>
  <c r="F10" i="1" s="1"/>
  <c r="E17" i="1"/>
  <c r="E18" i="1" s="1"/>
  <c r="C17" i="1"/>
  <c r="C18" i="1" s="1"/>
  <c r="D13" i="1"/>
  <c r="D15" i="1" s="1"/>
  <c r="H7" i="1"/>
  <c r="H10" i="1" s="1"/>
  <c r="H17" i="1"/>
  <c r="H18" i="1" s="1"/>
  <c r="B17" i="1"/>
  <c r="B7" i="1"/>
  <c r="B10" i="1" s="1"/>
  <c r="G17" i="1"/>
  <c r="G18" i="1" s="1"/>
  <c r="G7" i="1"/>
  <c r="G10" i="1" s="1"/>
  <c r="D48" i="2"/>
  <c r="B48" i="2"/>
  <c r="B49" i="2"/>
  <c r="E42" i="2"/>
  <c r="D37" i="2"/>
  <c r="D41" i="2" s="1"/>
  <c r="E181" i="2"/>
  <c r="E23" i="2"/>
  <c r="F181" i="2"/>
  <c r="F23" i="2"/>
  <c r="H17" i="2"/>
  <c r="N17" i="2" s="1"/>
  <c r="M17" i="2"/>
  <c r="G91" i="2"/>
  <c r="G21" i="2"/>
  <c r="E47" i="2"/>
  <c r="F55" i="2"/>
  <c r="F53" i="2"/>
  <c r="F20" i="2"/>
  <c r="C33" i="2"/>
  <c r="C51" i="2" s="1"/>
  <c r="C47" i="2"/>
  <c r="H16" i="2"/>
  <c r="G15" i="2"/>
  <c r="G13" i="2" s="1"/>
  <c r="M16" i="2"/>
  <c r="H53" i="2"/>
  <c r="H12" i="1"/>
  <c r="G214" i="4" l="1"/>
  <c r="G215" i="4" s="1"/>
  <c r="H210" i="4"/>
  <c r="H214" i="4" s="1"/>
  <c r="H215" i="4" s="1"/>
  <c r="H42" i="4"/>
  <c r="H46" i="4" s="1"/>
  <c r="H47" i="4" s="1"/>
  <c r="G46" i="4"/>
  <c r="G47" i="4" s="1"/>
  <c r="F94" i="4"/>
  <c r="F95" i="4" s="1"/>
  <c r="G90" i="4"/>
  <c r="H234" i="4"/>
  <c r="H238" i="4" s="1"/>
  <c r="H239" i="4" s="1"/>
  <c r="G238" i="4"/>
  <c r="G239" i="4" s="1"/>
  <c r="G22" i="4"/>
  <c r="G23" i="4" s="1"/>
  <c r="H18" i="4"/>
  <c r="G118" i="4"/>
  <c r="G119" i="4" s="1"/>
  <c r="H114" i="4"/>
  <c r="H118" i="4" s="1"/>
  <c r="H119" i="4" s="1"/>
  <c r="H138" i="4"/>
  <c r="H142" i="4" s="1"/>
  <c r="H143" i="4" s="1"/>
  <c r="G142" i="4"/>
  <c r="G143" i="4" s="1"/>
  <c r="H66" i="4"/>
  <c r="H70" i="4" s="1"/>
  <c r="H71" i="4" s="1"/>
  <c r="G70" i="4"/>
  <c r="G71" i="4" s="1"/>
  <c r="F256" i="4"/>
  <c r="F260" i="4" s="1"/>
  <c r="F261" i="4" s="1"/>
  <c r="F190" i="4"/>
  <c r="F191" i="4" s="1"/>
  <c r="G186" i="4"/>
  <c r="C19" i="1"/>
  <c r="B18" i="1"/>
  <c r="B19" i="1"/>
  <c r="E13" i="1"/>
  <c r="E15" i="1" s="1"/>
  <c r="D16" i="1"/>
  <c r="D19" i="1"/>
  <c r="N16" i="2"/>
  <c r="H15" i="2"/>
  <c r="H13" i="2" s="1"/>
  <c r="F91" i="2"/>
  <c r="F21" i="2"/>
  <c r="F33" i="2" s="1"/>
  <c r="C49" i="2"/>
  <c r="C48" i="2"/>
  <c r="D51" i="2"/>
  <c r="E21" i="2"/>
  <c r="E33" i="2" s="1"/>
  <c r="E91" i="2"/>
  <c r="D45" i="2"/>
  <c r="G54" i="2"/>
  <c r="G20" i="2"/>
  <c r="G55" i="2"/>
  <c r="F47" i="2"/>
  <c r="E48" i="2"/>
  <c r="F42" i="2"/>
  <c r="G190" i="4" l="1"/>
  <c r="G191" i="4" s="1"/>
  <c r="H186" i="4"/>
  <c r="H190" i="4" s="1"/>
  <c r="H191" i="4" s="1"/>
  <c r="H256" i="4"/>
  <c r="H260" i="4" s="1"/>
  <c r="H261" i="4" s="1"/>
  <c r="H22" i="4"/>
  <c r="H23" i="4" s="1"/>
  <c r="G94" i="4"/>
  <c r="G95" i="4" s="1"/>
  <c r="H90" i="4"/>
  <c r="H94" i="4" s="1"/>
  <c r="H95" i="4" s="1"/>
  <c r="G256" i="4"/>
  <c r="G260" i="4" s="1"/>
  <c r="G261" i="4" s="1"/>
  <c r="F13" i="1"/>
  <c r="F15" i="1" s="1"/>
  <c r="E16" i="1"/>
  <c r="E19" i="1"/>
  <c r="F37" i="2"/>
  <c r="F51" i="2"/>
  <c r="G42" i="2"/>
  <c r="F48" i="2"/>
  <c r="D46" i="2"/>
  <c r="D49" i="2"/>
  <c r="H54" i="2"/>
  <c r="H20" i="2"/>
  <c r="H55" i="2"/>
  <c r="G47" i="2"/>
  <c r="G33" i="2"/>
  <c r="E37" i="2"/>
  <c r="E41" i="2" s="1"/>
  <c r="E51" i="2"/>
  <c r="F16" i="1" l="1"/>
  <c r="F19" i="1"/>
  <c r="G13" i="1"/>
  <c r="G15" i="1" s="1"/>
  <c r="H42" i="2"/>
  <c r="G48" i="2"/>
  <c r="F41" i="2"/>
  <c r="E45" i="2"/>
  <c r="H33" i="2"/>
  <c r="H47" i="2"/>
  <c r="G37" i="2"/>
  <c r="G51" i="2" s="1"/>
  <c r="H13" i="1" l="1"/>
  <c r="H15" i="1" s="1"/>
  <c r="G19" i="1"/>
  <c r="G16" i="1"/>
  <c r="H48" i="2"/>
  <c r="H37" i="2"/>
  <c r="H51" i="2" s="1"/>
  <c r="E46" i="2"/>
  <c r="E49" i="2"/>
  <c r="G41" i="2"/>
  <c r="F45" i="2"/>
  <c r="H19" i="1" l="1"/>
  <c r="H16" i="1"/>
  <c r="H41" i="2"/>
  <c r="H45" i="2" s="1"/>
  <c r="G45" i="2"/>
  <c r="F46" i="2"/>
  <c r="F49" i="2"/>
  <c r="G46" i="2" l="1"/>
  <c r="G49" i="2"/>
  <c r="H46" i="2"/>
  <c r="H4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Helen</author>
    <author>kersti.sannik</author>
  </authors>
  <commentList>
    <comment ref="D10" authorId="0" shapeId="0" xr:uid="{81CBADDF-68BB-4B91-9E9B-8D1AA2E1D92D}">
      <text>
        <r>
          <rPr>
            <b/>
            <sz val="9"/>
            <color indexed="81"/>
            <rFont val="Segoe UI"/>
            <family val="2"/>
            <charset val="186"/>
          </rPr>
          <t>Helen:</t>
        </r>
        <r>
          <rPr>
            <sz val="9"/>
            <color indexed="81"/>
            <rFont val="Segoe UI"/>
            <family val="2"/>
            <charset val="186"/>
          </rPr>
          <t xml:space="preserve">
2023 aasta toetusfondist lahutada asenduskodu 655 675 € ja hooldereform 378451€, matusetoetus 40 603 € ja energiatoetus 67 731€</t>
        </r>
      </text>
    </comment>
    <comment ref="A44" authorId="1" shapeId="0" xr:uid="{41A3B16D-F40C-4D59-A97E-210CBBBCB568}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sildfinantseering</t>
        </r>
      </text>
    </comment>
    <comment ref="A47" authorId="1" shapeId="0" xr:uid="{EA8ACA90-EA74-4948-923C-106C31504A5F}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see on individuaalne piirmäär, millest rohkem võlakohustusi võtta ei tohi</t>
        </r>
      </text>
    </comment>
    <comment ref="A48" authorId="1" shapeId="0" xr:uid="{101235C8-F13B-4269-ABA4-4D6F6886677F}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see on individuaalne piirmäär (%), millest rohkem võlakohustusi võtta ei tohi</t>
        </r>
      </text>
    </comment>
    <comment ref="A52" authorId="1" shapeId="0" xr:uid="{18DD61D3-7BB5-42E5-960C-DFF666130F61}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laenu ei tohi rohkem võtta kui investeeringute omaosaluse katteks, osakute soetamiseks ja sihtfini ning laenu andmiseks</t>
        </r>
      </text>
    </comment>
    <comment ref="A93" authorId="1" shapeId="0" xr:uid="{0D05D18B-0482-414B-AE28-3CCAAB813872}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siin võivad olla ka art 4502 alt tehtavad investeeringud</t>
        </r>
      </text>
    </comment>
  </commentList>
</comments>
</file>

<file path=xl/sharedStrings.xml><?xml version="1.0" encoding="utf-8"?>
<sst xmlns="http://schemas.openxmlformats.org/spreadsheetml/2006/main" count="572" uniqueCount="182">
  <si>
    <t>Arvestusüksus (nimi)</t>
  </si>
  <si>
    <t>2022 täitmine</t>
  </si>
  <si>
    <t>2023 eeldatav täitmine</t>
  </si>
  <si>
    <t xml:space="preserve">2024 eelarve  </t>
  </si>
  <si>
    <t xml:space="preserve">2025 eelarve  </t>
  </si>
  <si>
    <t xml:space="preserve">2026 eelarve  </t>
  </si>
  <si>
    <t xml:space="preserve">2027 eelarve  </t>
  </si>
  <si>
    <t xml:space="preserve">2028 eelarve  </t>
  </si>
  <si>
    <t>Põhitegevuse tulud kokku</t>
  </si>
  <si>
    <t>Põhitegevuse kulud kokku</t>
  </si>
  <si>
    <r>
      <t xml:space="preserve">   sh alates </t>
    </r>
    <r>
      <rPr>
        <b/>
        <i/>
        <sz val="8"/>
        <rFont val="Arial"/>
        <family val="2"/>
        <charset val="186"/>
      </rPr>
      <t>2012</t>
    </r>
    <r>
      <rPr>
        <i/>
        <sz val="8"/>
        <rFont val="Arial"/>
        <family val="2"/>
        <charset val="186"/>
      </rPr>
      <t xml:space="preserve"> sõlmitud katkestamatud kasutusrendimaksed </t>
    </r>
  </si>
  <si>
    <t>Põhitegevustulem</t>
  </si>
  <si>
    <t>Investeerimistegevus kokku</t>
  </si>
  <si>
    <t>Eelarve tulem</t>
  </si>
  <si>
    <t>Finantseerimistegevus</t>
  </si>
  <si>
    <t>Likviidsete varade muutus (+ suurenemine, - vähenemine)</t>
  </si>
  <si>
    <t>Nõuete ja kohustuste saldode muutus (+/-)</t>
  </si>
  <si>
    <t>Likviidsete varade suunamata jääk aasta lõpuks</t>
  </si>
  <si>
    <t>Võlakohustused kokku aasta lõpu seisuga</t>
  </si>
  <si>
    <t xml:space="preserve">    sh kohustused, mille võrra võib ületada netovõlakoormuse piirmäära (arvestusüksuse väline)</t>
  </si>
  <si>
    <t>Netovõlakoormus (eurodes)</t>
  </si>
  <si>
    <t>Netovõlakoormus (%)</t>
  </si>
  <si>
    <t>Netovõlakoormuse ülemmäär (eurodes)</t>
  </si>
  <si>
    <t>Netovõlakoormuse ülemmäär (%)</t>
  </si>
  <si>
    <t>Vaba netovõlakoormus (eurodes)</t>
  </si>
  <si>
    <t>Tapa vald</t>
  </si>
  <si>
    <t>Selgitused</t>
  </si>
  <si>
    <t>Ridu juurde teha ei tohi, va alumisse investeeringute tabelisse!</t>
  </si>
  <si>
    <t xml:space="preserve">2022 ja 2023 täituvad automaatselt eelarvearuande lehelt!!! </t>
  </si>
  <si>
    <t>Valemeid ei tohi üle kirjutada!</t>
  </si>
  <si>
    <t xml:space="preserve">     Maksutulud</t>
  </si>
  <si>
    <t xml:space="preserve">          sh tulumaks</t>
  </si>
  <si>
    <t xml:space="preserve">          sh maamaks</t>
  </si>
  <si>
    <t xml:space="preserve">          sh muud maksutulud</t>
  </si>
  <si>
    <t xml:space="preserve">    Tulud kaupade ja teenuste müügist</t>
  </si>
  <si>
    <t xml:space="preserve">    Saadavad toetused tegevuskuludeks</t>
  </si>
  <si>
    <t xml:space="preserve">         sh  tasandusfond </t>
  </si>
  <si>
    <t>Andruse tabelis muutsite ikka rahvaarvu jt parameetrid ära</t>
  </si>
  <si>
    <t>Muutsin elanike arvud</t>
  </si>
  <si>
    <t xml:space="preserve">         sh  toetusfond</t>
  </si>
  <si>
    <t>matusetoetus ja energiatoetus ka maha</t>
  </si>
  <si>
    <t>2023 aasta toetusfondist lahutada asenduskodu 655 675 € ja hooldereform 378451€, matusetoetus 40 603 € ja energiatoetus 67 731€</t>
  </si>
  <si>
    <t xml:space="preserve">         sh muud saadud toetused tegevuskuludeks</t>
  </si>
  <si>
    <t>riigilt õppelaen, raamatud jt jooksvad toetused TALUMISTASU 328 136</t>
  </si>
  <si>
    <t xml:space="preserve">     Muud tegevustulud</t>
  </si>
  <si>
    <t xml:space="preserve">kaevandusõiguse tasu, vee erikasutus,saastetasud, trahvid </t>
  </si>
  <si>
    <t xml:space="preserve">     Antavad toetused tegevuskuludeks</t>
  </si>
  <si>
    <t xml:space="preserve">     Muud tegevuskulud</t>
  </si>
  <si>
    <t xml:space="preserve">          sh personalikulud</t>
  </si>
  <si>
    <t xml:space="preserve">          sh majandamiskulud</t>
  </si>
  <si>
    <r>
      <t xml:space="preserve">             sh alates </t>
    </r>
    <r>
      <rPr>
        <b/>
        <i/>
        <sz val="8"/>
        <rFont val="Arial"/>
        <family val="2"/>
        <charset val="186"/>
      </rPr>
      <t>2012</t>
    </r>
    <r>
      <rPr>
        <i/>
        <sz val="8"/>
        <rFont val="Arial"/>
        <family val="2"/>
        <charset val="186"/>
      </rPr>
      <t xml:space="preserve"> sõlmitud katkestamatud kasutusrendimaksed </t>
    </r>
  </si>
  <si>
    <r>
      <t>Siin on joosva aasta kulu, real 42 kogusumma (</t>
    </r>
    <r>
      <rPr>
        <b/>
        <u/>
        <sz val="10"/>
        <rFont val="Arial"/>
        <family val="2"/>
        <charset val="186"/>
      </rPr>
      <t>konto 913110</t>
    </r>
    <r>
      <rPr>
        <b/>
        <sz val="10"/>
        <rFont val="Arial"/>
        <family val="2"/>
        <charset val="186"/>
      </rPr>
      <t>)</t>
    </r>
  </si>
  <si>
    <t xml:space="preserve">          sh muud kulud</t>
  </si>
  <si>
    <t>Siin on ka reservfond</t>
  </si>
  <si>
    <t>Põhitegevuse tulem</t>
  </si>
  <si>
    <t>EI TOHI OLLA NEGATIIVNE 2 A JÄRJEST. Kõigi aastate PT summa peab olema vähemalt 0.</t>
  </si>
  <si>
    <t xml:space="preserve">    Põhivara müük (+)</t>
  </si>
  <si>
    <t xml:space="preserve">    Põhivara soetus (-)</t>
  </si>
  <si>
    <t>TÄITUB ALUMISEST TABELIST, REALT millele viitab valem</t>
  </si>
  <si>
    <t xml:space="preserve">         sh projektide omaosalus</t>
  </si>
  <si>
    <t xml:space="preserve">   Põhivara soetuseks saadav sihtfinantseerimine (+)</t>
  </si>
  <si>
    <t>siin ka hajaasustuse veeprogramm, mis lisada valemile plussmärgiga ja alumises tabelis mitte näidata</t>
  </si>
  <si>
    <r>
      <rPr>
        <b/>
        <sz val="10"/>
        <rFont val="Arial"/>
        <family val="2"/>
        <charset val="186"/>
      </rPr>
      <t>Teederaha siin ei näita</t>
    </r>
    <r>
      <rPr>
        <sz val="10"/>
        <rFont val="Arial"/>
        <family val="2"/>
        <charset val="186"/>
      </rPr>
      <t xml:space="preserve">, see on real 10. </t>
    </r>
  </si>
  <si>
    <t xml:space="preserve">   Põhivara soetuseks antav sihtfinantseerimine (-)</t>
  </si>
  <si>
    <t>siin näidata hajaasustus koos antava omapoolse toetusega</t>
  </si>
  <si>
    <t xml:space="preserve">   Osaluste ning muude aktsiate ja osade müük (+)</t>
  </si>
  <si>
    <t xml:space="preserve">   Osaluste ning muude aktsiate ja osade soetus (-)</t>
  </si>
  <si>
    <t xml:space="preserve">   Tagasilaekuvad laenud (+)</t>
  </si>
  <si>
    <t xml:space="preserve">   Antavad laenud (-)</t>
  </si>
  <si>
    <t>sõltuvale üksusele investeeringuteks, sõltuv üksus näitab fin tehingutes</t>
  </si>
  <si>
    <t xml:space="preserve">   Finantstulud (+)</t>
  </si>
  <si>
    <t>intressid, dividendid</t>
  </si>
  <si>
    <t xml:space="preserve">   Finantskulud (-)</t>
  </si>
  <si>
    <t xml:space="preserve">   Kohustiste võtmine (+)</t>
  </si>
  <si>
    <t>laenu ei saa rohkem võtta kui investeeringuid teete, st rida24+26+28+30!!!</t>
  </si>
  <si>
    <t xml:space="preserve">   Kohustiste tasumine (-)</t>
  </si>
  <si>
    <t>ega iga aasta ju ei refinantseeri laene?</t>
  </si>
  <si>
    <t>Ei saa rohkem suunata kui reale 41 eelmisel aastal jääb.</t>
  </si>
  <si>
    <t>Nõuete ja kohustiste saldode muutus kokku (+ /-)</t>
  </si>
  <si>
    <t xml:space="preserve">   sh nõuete muutus (- suurenemine/ + vähenemine)</t>
  </si>
  <si>
    <t>nt eelmisel aastal saamata jäänud PK meetme raha</t>
  </si>
  <si>
    <t xml:space="preserve">   sh kohustiste muutus (+ suurenemine/ - vähenemine)</t>
  </si>
  <si>
    <t>kui saadi nt katuseraha, siis võtta ülesse kohustisena riigi ees plussiga, järgmisel aastal tuleb seda vähendada miinusega</t>
  </si>
  <si>
    <t>Ei saa kunagi olla negatiivne!</t>
  </si>
  <si>
    <t>Võlakohustised kokku aasta lõpu seisuga</t>
  </si>
  <si>
    <t xml:space="preserve">    sh üle 1 a perioodiga mittekatkestatav kasutusrent (konto 913100), sihtfinantseerimise kohustised (konto 253550), saadud ettemaksed (kontogrupp 2038)</t>
  </si>
  <si>
    <t xml:space="preserve">    sh kohustised, mille võrra võib ületada netovõlakoormuse piirmäära</t>
  </si>
  <si>
    <r>
      <t>Netovõlakoormus (</t>
    </r>
    <r>
      <rPr>
        <b/>
        <u/>
        <sz val="10"/>
        <rFont val="Arial"/>
        <family val="2"/>
        <charset val="186"/>
      </rPr>
      <t>eurodes</t>
    </r>
    <r>
      <rPr>
        <b/>
        <sz val="10"/>
        <rFont val="Arial"/>
        <family val="2"/>
        <charset val="186"/>
      </rPr>
      <t>)</t>
    </r>
  </si>
  <si>
    <r>
      <t>Netovõlakoormus (</t>
    </r>
    <r>
      <rPr>
        <b/>
        <u/>
        <sz val="10"/>
        <rFont val="Arial"/>
        <family val="2"/>
        <charset val="186"/>
      </rPr>
      <t>%</t>
    </r>
    <r>
      <rPr>
        <b/>
        <sz val="10"/>
        <rFont val="Arial"/>
        <family val="2"/>
        <charset val="186"/>
      </rPr>
      <t>)</t>
    </r>
  </si>
  <si>
    <r>
      <t>Netovõlakoormuse ülemmäär (</t>
    </r>
    <r>
      <rPr>
        <b/>
        <u/>
        <sz val="10"/>
        <rFont val="Arial"/>
        <family val="2"/>
        <charset val="186"/>
      </rPr>
      <t>eurodes</t>
    </r>
    <r>
      <rPr>
        <b/>
        <sz val="10"/>
        <rFont val="Arial"/>
        <family val="2"/>
        <charset val="186"/>
      </rPr>
      <t>)</t>
    </r>
  </si>
  <si>
    <t>kuni 2024. lõpuni kas 10-kordne põhitegevuse tulem või 80% põhitegevuse tuludest, kumb on suurem, kuid mitte rohkem kui 100%. Edaspidi hakkab vähenema 5% võrra.</t>
  </si>
  <si>
    <r>
      <t>Netovõlakoormuse individuaalne ülemmäär (</t>
    </r>
    <r>
      <rPr>
        <b/>
        <u/>
        <sz val="10"/>
        <rFont val="Arial"/>
        <family val="2"/>
        <charset val="186"/>
      </rPr>
      <t>%</t>
    </r>
    <r>
      <rPr>
        <b/>
        <sz val="10"/>
        <rFont val="Arial"/>
        <family val="2"/>
        <charset val="186"/>
      </rPr>
      <t>)</t>
    </r>
  </si>
  <si>
    <t>E/a kontroll (tasakaal)</t>
  </si>
  <si>
    <t>peab olema 0</t>
  </si>
  <si>
    <t>Kohustiste võtmise kontroll</t>
  </si>
  <si>
    <t>peab üldjuhul olema OK. Erinevus võib tekkida nt refinantseerimisest.</t>
  </si>
  <si>
    <t>Põhitegevuse tulude muutus</t>
  </si>
  <si>
    <t>-</t>
  </si>
  <si>
    <t>Põhitegevuse kulude muutus</t>
  </si>
  <si>
    <t>Omafinantseerimise võimekuse näitaja</t>
  </si>
  <si>
    <t>Investeeringuobjektid* (alati "+" märgiga)</t>
  </si>
  <si>
    <t>kui lisate siia tabelisse ka antavad toetused investeeringuteks (art 4502), siis tuleks selleks jagada tabeli andmed käsitsi eelarvestrateegia ridade 23/24 ja 26 vahel.</t>
  </si>
  <si>
    <t>01 Üldised valitsussektori teenused</t>
  </si>
  <si>
    <t>Kuna kaotasime ära valdkonna vormi, siis on siin toodud investeeringud valdkondade kaupa</t>
  </si>
  <si>
    <t>sh toetuse arvelt</t>
  </si>
  <si>
    <t>sh muude vahendite arvelt (omaosalus)</t>
  </si>
  <si>
    <t>omavahendid + laen</t>
  </si>
  <si>
    <t>02 Riigikaitse</t>
  </si>
  <si>
    <t>03 Avalik kord ja julgeolek</t>
  </si>
  <si>
    <t>04 Majandus</t>
  </si>
  <si>
    <t>teederaha, mis tuleb toetusfondi kaudu, siin topelt näidata ei tohi. Kui teete nendest vahenditest investeeringuid, siis tuleb see summa tõsta omavahendite alla.</t>
  </si>
  <si>
    <t>05 Keskkonnakaitse</t>
  </si>
  <si>
    <t>06 Elamu- ja kommunaalmajandus</t>
  </si>
  <si>
    <t>07 Tervishoid</t>
  </si>
  <si>
    <t>08 Vabaaeg, kultuur ja religioon</t>
  </si>
  <si>
    <t>09 Haridus</t>
  </si>
  <si>
    <t>10 Sotsiaalne kaitse</t>
  </si>
  <si>
    <t>KÕIK KOKKU</t>
  </si>
  <si>
    <t>Põhivara soetuse kontroll</t>
  </si>
  <si>
    <t>Suuremad investeeringud nimeliselt</t>
  </si>
  <si>
    <t>siin võib näidata ka art 4502 alt tehtavad investeeringud</t>
  </si>
  <si>
    <t>03 Päästeteenused Generaatorid</t>
  </si>
  <si>
    <t>04 Teehoiukava elluviimine</t>
  </si>
  <si>
    <t>04 Energiasäästumeetmete rakendamine munitsipaalhenetes</t>
  </si>
  <si>
    <t>04 Tapa linna vabadussamba rajamine</t>
  </si>
  <si>
    <t>04 Ettevõtlusala Paide mnt 85</t>
  </si>
  <si>
    <t>06 Tänavavalgustuse rekonstrueerimine Tapa, Tamsalu</t>
  </si>
  <si>
    <t>06 Ambla mnt 41A ja Pargi tn 23 A kruntide moodustamine ning kinnistute ostmine Maa-ametilt, taristu</t>
  </si>
  <si>
    <t>07 Investeeringutoetus Rakvere Haiglale art 4502</t>
  </si>
  <si>
    <t>08 Tapa spordikeskuse põrand</t>
  </si>
  <si>
    <t>08 Tamsalu ujula akustika rekonstrueerimine</t>
  </si>
  <si>
    <t>08 Tamsalu Kultuurimaja katus</t>
  </si>
  <si>
    <t>08 Tapa linna ujula</t>
  </si>
  <si>
    <t>08 Puhkepargid Tapa linna keskväljaku rekonstrueerimine</t>
  </si>
  <si>
    <t>08 Puhkepargid Tamsalu 100 tamme park</t>
  </si>
  <si>
    <t>08 Puhkepargid Lehtse spordiväljak MATA</t>
  </si>
  <si>
    <t>08 Puhkepargid Tapa Kiriku- ja Kultuurikoja pargi lasteväljaku uue turvaaluse rajamine</t>
  </si>
  <si>
    <t xml:space="preserve">08 Puhkepargid </t>
  </si>
  <si>
    <t>08 Puhkepargid pargiinventar</t>
  </si>
  <si>
    <t>08 Jäneda spordihoone energiatõhususe
parandamise projekteerimistööd</t>
  </si>
  <si>
    <t>08 Muuseumid Porkuni väravatorn</t>
  </si>
  <si>
    <t>09 Lasteaed Vikerkaar mänguväljak</t>
  </si>
  <si>
    <t xml:space="preserve">09 Lasteaed Vikerkaar hoone </t>
  </si>
  <si>
    <t>09 Tamsalu Gümnaasium kuuri lammutamine ja graaži renoveerimine</t>
  </si>
  <si>
    <t>09 Tamsalu Gümnaasium rattaparkla</t>
  </si>
  <si>
    <t>09 Jäneda Kool kahe tuulekoja põrand ja kivisillutis koolisissepääs</t>
  </si>
  <si>
    <t>09 Koolitoit rasvapüüdja</t>
  </si>
  <si>
    <t xml:space="preserve">10 Eluasemeteenused sotsiaalsetele riskirühmadele UKRAINA </t>
  </si>
  <si>
    <t>10 Sõiduauto sotsiaalosakonnale</t>
  </si>
  <si>
    <t>Tamsalu Perearstid OÜ</t>
  </si>
  <si>
    <t>Põhitegevuse tulud kokku (+)</t>
  </si>
  <si>
    <t xml:space="preserve">    sh saadud tulud kohalikult omavalitsuselt</t>
  </si>
  <si>
    <r>
      <t xml:space="preserve">    sh alates </t>
    </r>
    <r>
      <rPr>
        <b/>
        <i/>
        <sz val="8"/>
        <rFont val="Arial"/>
        <family val="2"/>
        <charset val="186"/>
      </rPr>
      <t>2012</t>
    </r>
    <r>
      <rPr>
        <i/>
        <sz val="8"/>
        <rFont val="Arial"/>
        <family val="2"/>
        <charset val="186"/>
      </rPr>
      <t xml:space="preserve"> sõlmitud katkestamatud kasutusrendimaksed</t>
    </r>
  </si>
  <si>
    <t xml:space="preserve">    sh saadud tulud muudelt arvestusüksusesse kuuluvatelt üksustelt</t>
  </si>
  <si>
    <t>Põhitegevuse kulud kokku (+)</t>
  </si>
  <si>
    <t xml:space="preserve">    sh tehingud kohaliku omavalitsuse üksusega</t>
  </si>
  <si>
    <t xml:space="preserve">    sh tehingud muude arvestusüksusesse kuuluvate üksustega</t>
  </si>
  <si>
    <r>
      <t xml:space="preserve">    sh alates </t>
    </r>
    <r>
      <rPr>
        <b/>
        <i/>
        <sz val="8"/>
        <rFont val="Arial"/>
        <family val="2"/>
        <charset val="186"/>
      </rPr>
      <t>2012</t>
    </r>
    <r>
      <rPr>
        <i/>
        <sz val="8"/>
        <rFont val="Arial"/>
        <family val="2"/>
        <charset val="186"/>
      </rPr>
      <t xml:space="preserve"> katkestamatud kasutusrendimaksed (arvestusüksusesse mitte kuuluvatele üksustele)</t>
    </r>
  </si>
  <si>
    <t>Investeerimistegevus kokku (+/-)</t>
  </si>
  <si>
    <t>Finantseerimistegevus (-/+)</t>
  </si>
  <si>
    <t xml:space="preserve">    sh võlakohustused (arvestusüksuse sisene)</t>
  </si>
  <si>
    <t xml:space="preserve">    sh muud võlakohustused, mis kajastuvad ka KOV bilansis</t>
  </si>
  <si>
    <t>Sõltuv üksus 2 (nimi)</t>
  </si>
  <si>
    <t>Täitmine n-1 aasta</t>
  </si>
  <si>
    <t>KOV eelarve n aasta</t>
  </si>
  <si>
    <t>KOV eelarve n+1 aasta</t>
  </si>
  <si>
    <t>KOV eelarve n+2 aasta</t>
  </si>
  <si>
    <t>KOV eelarve n+3 aasta</t>
  </si>
  <si>
    <t>KOV eelarve n+4 aasta</t>
  </si>
  <si>
    <t xml:space="preserve">         sh alates 2012 sõlmitud katkestamatud kasutusrendimaksed</t>
  </si>
  <si>
    <t xml:space="preserve">    sh alates 2012 katkestamatud kasutusrendimaksed (arvestusüksusesse mitte kuuluvatele üksustele)</t>
  </si>
  <si>
    <t>Nõuete ja kohustuste saldode muutus (tekkepõhise e/a korral) (+/-)</t>
  </si>
  <si>
    <t>Sõltuv üksus 3 (nimi)</t>
  </si>
  <si>
    <t>Sõltuv üksus 4 (nimi)</t>
  </si>
  <si>
    <t>Sõltuv üksus 5 (nimi)</t>
  </si>
  <si>
    <t>Sõltuv üksus 6 (nimi)</t>
  </si>
  <si>
    <t>Sõltuv üksus 7 (nimi)</t>
  </si>
  <si>
    <t>Sõltuv üksus 8 (nimi)</t>
  </si>
  <si>
    <t>Sõltuv üksus 9 (nimi)</t>
  </si>
  <si>
    <t>Sõltuv üksus 10 (nimi)</t>
  </si>
  <si>
    <t>Sõltuvad üksused KOKKU 
(konsolideeritud)</t>
  </si>
  <si>
    <t>Sõltuvate üksuste omavaheliste tehingute kontroll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</si>
</sst>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8">
    <font>
      <sz val="11"/>
      <color theme="1"/>
      <name val="Aptos Narrow"/>
      <family val="2"/>
      <charset val="186"/>
      <scheme val="minor"/>
    </font>
    <font>
      <b/>
      <sz val="10"/>
      <name val="Arial"/>
      <family val="2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i/>
      <sz val="8"/>
      <name val="Arial"/>
      <family val="2"/>
      <charset val="186"/>
    </font>
    <font>
      <b/>
      <i/>
      <sz val="8"/>
      <name val="Arial"/>
      <family val="2"/>
      <charset val="186"/>
    </font>
    <font>
      <sz val="8"/>
      <name val="Arial"/>
      <family val="2"/>
    </font>
    <font>
      <sz val="10"/>
      <name val="Arial"/>
      <family val="2"/>
    </font>
    <font>
      <sz val="10"/>
      <color theme="0"/>
      <name val="Arial"/>
      <family val="2"/>
      <charset val="186"/>
    </font>
    <font>
      <b/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b/>
      <u/>
      <sz val="10"/>
      <name val="Arial"/>
      <family val="2"/>
      <charset val="186"/>
    </font>
    <font>
      <sz val="8"/>
      <color indexed="8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</font>
    <font>
      <sz val="10"/>
      <color theme="1"/>
      <name val="Arial1"/>
      <charset val="186"/>
    </font>
    <font>
      <b/>
      <sz val="10"/>
      <color indexed="10"/>
      <name val="Arial"/>
      <family val="2"/>
      <charset val="186"/>
    </font>
    <font>
      <sz val="8"/>
      <color rgb="FFFF0000"/>
      <name val="Arial"/>
      <family val="2"/>
      <charset val="186"/>
    </font>
    <font>
      <b/>
      <i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rgb="FF373A3C"/>
      <name val="Arial"/>
      <family val="2"/>
      <charset val="186"/>
    </font>
    <font>
      <b/>
      <sz val="9"/>
      <color indexed="81"/>
      <name val="Segoe UI"/>
      <family val="2"/>
      <charset val="186"/>
    </font>
    <font>
      <sz val="9"/>
      <color indexed="81"/>
      <name val="Segoe UI"/>
      <family val="2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b/>
      <sz val="10"/>
      <color rgb="FFFF0000"/>
      <name val="Arial"/>
      <family val="2"/>
    </font>
    <font>
      <sz val="10"/>
      <color indexed="10"/>
      <name val="Arial"/>
      <family val="2"/>
      <charset val="186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33CCFF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14" fillId="0" borderId="0"/>
    <xf numFmtId="0" fontId="14" fillId="0" borderId="0"/>
    <xf numFmtId="0" fontId="3" fillId="0" borderId="0"/>
  </cellStyleXfs>
  <cellXfs count="222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4" xfId="0" applyFont="1" applyBorder="1" applyAlignment="1">
      <alignment horizontal="left" vertical="center"/>
    </xf>
    <xf numFmtId="3" fontId="1" fillId="3" borderId="5" xfId="0" applyNumberFormat="1" applyFont="1" applyFill="1" applyBorder="1" applyAlignment="1">
      <alignment horizontal="right" wrapText="1"/>
    </xf>
    <xf numFmtId="3" fontId="1" fillId="3" borderId="6" xfId="0" applyNumberFormat="1" applyFont="1" applyFill="1" applyBorder="1" applyAlignment="1">
      <alignment horizontal="right" wrapText="1"/>
    </xf>
    <xf numFmtId="0" fontId="3" fillId="0" borderId="0" xfId="0" applyFont="1"/>
    <xf numFmtId="3" fontId="1" fillId="3" borderId="5" xfId="0" applyNumberFormat="1" applyFont="1" applyFill="1" applyBorder="1" applyAlignment="1">
      <alignment wrapText="1"/>
    </xf>
    <xf numFmtId="3" fontId="1" fillId="3" borderId="6" xfId="0" applyNumberFormat="1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center"/>
    </xf>
    <xf numFmtId="3" fontId="1" fillId="4" borderId="5" xfId="0" applyNumberFormat="1" applyFont="1" applyFill="1" applyBorder="1" applyAlignment="1">
      <alignment wrapText="1"/>
    </xf>
    <xf numFmtId="3" fontId="1" fillId="4" borderId="6" xfId="0" applyNumberFormat="1" applyFont="1" applyFill="1" applyBorder="1" applyAlignment="1">
      <alignment wrapText="1"/>
    </xf>
    <xf numFmtId="0" fontId="2" fillId="0" borderId="4" xfId="0" applyFont="1" applyBorder="1" applyAlignment="1">
      <alignment horizontal="left" wrapText="1"/>
    </xf>
    <xf numFmtId="3" fontId="2" fillId="3" borderId="5" xfId="0" applyNumberFormat="1" applyFont="1" applyFill="1" applyBorder="1" applyAlignment="1">
      <alignment wrapText="1"/>
    </xf>
    <xf numFmtId="3" fontId="2" fillId="3" borderId="6" xfId="0" applyNumberFormat="1" applyFont="1" applyFill="1" applyBorder="1" applyAlignment="1">
      <alignment wrapText="1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0" fillId="0" borderId="4" xfId="0" applyBorder="1"/>
    <xf numFmtId="0" fontId="0" fillId="3" borderId="5" xfId="0" applyFill="1" applyBorder="1"/>
    <xf numFmtId="0" fontId="3" fillId="3" borderId="6" xfId="0" applyFont="1" applyFill="1" applyBorder="1"/>
    <xf numFmtId="3" fontId="1" fillId="3" borderId="5" xfId="0" applyNumberFormat="1" applyFont="1" applyFill="1" applyBorder="1"/>
    <xf numFmtId="3" fontId="2" fillId="3" borderId="6" xfId="0" applyNumberFormat="1" applyFont="1" applyFill="1" applyBorder="1"/>
    <xf numFmtId="0" fontId="1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3" fontId="3" fillId="3" borderId="5" xfId="0" applyNumberFormat="1" applyFont="1" applyFill="1" applyBorder="1" applyAlignment="1">
      <alignment wrapText="1"/>
    </xf>
    <xf numFmtId="3" fontId="3" fillId="3" borderId="6" xfId="0" applyNumberFormat="1" applyFont="1" applyFill="1" applyBorder="1" applyAlignment="1">
      <alignment wrapText="1"/>
    </xf>
    <xf numFmtId="0" fontId="2" fillId="0" borderId="4" xfId="0" applyFont="1" applyBorder="1" applyAlignment="1">
      <alignment wrapText="1"/>
    </xf>
    <xf numFmtId="3" fontId="7" fillId="3" borderId="8" xfId="0" applyNumberFormat="1" applyFont="1" applyFill="1" applyBorder="1" applyAlignment="1">
      <alignment wrapText="1"/>
    </xf>
    <xf numFmtId="3" fontId="7" fillId="3" borderId="6" xfId="0" applyNumberFormat="1" applyFont="1" applyFill="1" applyBorder="1" applyAlignment="1">
      <alignment wrapText="1"/>
    </xf>
    <xf numFmtId="164" fontId="7" fillId="3" borderId="5" xfId="0" applyNumberFormat="1" applyFont="1" applyFill="1" applyBorder="1" applyAlignment="1">
      <alignment wrapText="1"/>
    </xf>
    <xf numFmtId="164" fontId="3" fillId="3" borderId="6" xfId="0" applyNumberFormat="1" applyFont="1" applyFill="1" applyBorder="1" applyAlignment="1">
      <alignment wrapText="1"/>
    </xf>
    <xf numFmtId="3" fontId="3" fillId="5" borderId="9" xfId="0" applyNumberFormat="1" applyFont="1" applyFill="1" applyBorder="1" applyAlignment="1">
      <alignment wrapText="1"/>
    </xf>
    <xf numFmtId="3" fontId="8" fillId="0" borderId="0" xfId="0" applyNumberFormat="1" applyFont="1" applyAlignment="1">
      <alignment wrapText="1"/>
    </xf>
    <xf numFmtId="3" fontId="3" fillId="0" borderId="0" xfId="0" applyNumberFormat="1" applyFont="1" applyAlignment="1">
      <alignment wrapText="1"/>
    </xf>
    <xf numFmtId="164" fontId="3" fillId="3" borderId="5" xfId="0" applyNumberFormat="1" applyFont="1" applyFill="1" applyBorder="1" applyAlignment="1">
      <alignment wrapText="1"/>
    </xf>
    <xf numFmtId="0" fontId="2" fillId="0" borderId="10" xfId="0" applyFont="1" applyBorder="1" applyAlignment="1">
      <alignment wrapText="1"/>
    </xf>
    <xf numFmtId="3" fontId="3" fillId="3" borderId="11" xfId="0" applyNumberFormat="1" applyFont="1" applyFill="1" applyBorder="1" applyAlignment="1">
      <alignment wrapText="1"/>
    </xf>
    <xf numFmtId="3" fontId="3" fillId="3" borderId="12" xfId="0" applyNumberFormat="1" applyFont="1" applyFill="1" applyBorder="1" applyAlignment="1">
      <alignment wrapText="1"/>
    </xf>
    <xf numFmtId="3" fontId="0" fillId="0" borderId="0" xfId="0" applyNumberFormat="1"/>
    <xf numFmtId="0" fontId="1" fillId="6" borderId="13" xfId="0" applyFont="1" applyFill="1" applyBorder="1" applyAlignment="1">
      <alignment horizontal="center" wrapText="1"/>
    </xf>
    <xf numFmtId="0" fontId="2" fillId="6" borderId="2" xfId="0" applyFont="1" applyFill="1" applyBorder="1" applyAlignment="1">
      <alignment horizontal="center" wrapText="1"/>
    </xf>
    <xf numFmtId="0" fontId="2" fillId="6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9" fillId="0" borderId="0" xfId="0" applyFont="1" applyAlignment="1">
      <alignment wrapText="1"/>
    </xf>
    <xf numFmtId="0" fontId="2" fillId="7" borderId="0" xfId="0" applyFont="1" applyFill="1" applyAlignment="1">
      <alignment horizontal="center" wrapText="1"/>
    </xf>
    <xf numFmtId="0" fontId="2" fillId="0" borderId="14" xfId="0" applyFont="1" applyBorder="1" applyAlignment="1">
      <alignment horizontal="left"/>
    </xf>
    <xf numFmtId="3" fontId="1" fillId="3" borderId="15" xfId="0" applyNumberFormat="1" applyFont="1" applyFill="1" applyBorder="1" applyAlignment="1">
      <alignment horizontal="right" wrapText="1"/>
    </xf>
    <xf numFmtId="3" fontId="1" fillId="3" borderId="16" xfId="0" applyNumberFormat="1" applyFont="1" applyFill="1" applyBorder="1" applyAlignment="1">
      <alignment horizontal="right" wrapText="1"/>
    </xf>
    <xf numFmtId="0" fontId="10" fillId="0" borderId="0" xfId="0" applyFont="1"/>
    <xf numFmtId="0" fontId="11" fillId="0" borderId="7" xfId="0" applyFont="1" applyBorder="1" applyAlignment="1">
      <alignment horizontal="left"/>
    </xf>
    <xf numFmtId="3" fontId="7" fillId="3" borderId="5" xfId="0" applyNumberFormat="1" applyFont="1" applyFill="1" applyBorder="1" applyAlignment="1">
      <alignment wrapText="1"/>
    </xf>
    <xf numFmtId="3" fontId="3" fillId="8" borderId="8" xfId="0" applyNumberFormat="1" applyFont="1" applyFill="1" applyBorder="1" applyAlignment="1">
      <alignment wrapText="1"/>
    </xf>
    <xf numFmtId="3" fontId="3" fillId="0" borderId="5" xfId="0" applyNumberFormat="1" applyFont="1" applyBorder="1"/>
    <xf numFmtId="3" fontId="3" fillId="0" borderId="6" xfId="0" applyNumberFormat="1" applyFont="1" applyBorder="1"/>
    <xf numFmtId="10" fontId="0" fillId="0" borderId="0" xfId="0" applyNumberFormat="1"/>
    <xf numFmtId="3" fontId="7" fillId="8" borderId="8" xfId="0" applyNumberFormat="1" applyFont="1" applyFill="1" applyBorder="1" applyAlignment="1">
      <alignment wrapText="1"/>
    </xf>
    <xf numFmtId="3" fontId="3" fillId="9" borderId="5" xfId="0" applyNumberFormat="1" applyFont="1" applyFill="1" applyBorder="1"/>
    <xf numFmtId="0" fontId="0" fillId="10" borderId="0" xfId="0" applyFill="1"/>
    <xf numFmtId="0" fontId="0" fillId="11" borderId="0" xfId="0" applyFill="1"/>
    <xf numFmtId="0" fontId="10" fillId="10" borderId="0" xfId="0" applyFont="1" applyFill="1"/>
    <xf numFmtId="0" fontId="2" fillId="0" borderId="7" xfId="0" applyFont="1" applyBorder="1" applyAlignment="1">
      <alignment horizontal="left"/>
    </xf>
    <xf numFmtId="3" fontId="1" fillId="3" borderId="8" xfId="0" applyNumberFormat="1" applyFont="1" applyFill="1" applyBorder="1" applyAlignment="1">
      <alignment wrapText="1"/>
    </xf>
    <xf numFmtId="3" fontId="7" fillId="5" borderId="8" xfId="0" applyNumberFormat="1" applyFont="1" applyFill="1" applyBorder="1" applyAlignment="1">
      <alignment wrapText="1"/>
    </xf>
    <xf numFmtId="3" fontId="7" fillId="5" borderId="6" xfId="0" applyNumberFormat="1" applyFont="1" applyFill="1" applyBorder="1" applyAlignment="1">
      <alignment wrapText="1"/>
    </xf>
    <xf numFmtId="0" fontId="4" fillId="4" borderId="7" xfId="0" applyFont="1" applyFill="1" applyBorder="1" applyAlignment="1">
      <alignment horizontal="left"/>
    </xf>
    <xf numFmtId="3" fontId="7" fillId="4" borderId="8" xfId="0" applyNumberFormat="1" applyFont="1" applyFill="1" applyBorder="1" applyAlignment="1">
      <alignment wrapText="1"/>
    </xf>
    <xf numFmtId="3" fontId="3" fillId="4" borderId="5" xfId="0" applyNumberFormat="1" applyFont="1" applyFill="1" applyBorder="1"/>
    <xf numFmtId="3" fontId="3" fillId="4" borderId="6" xfId="0" applyNumberFormat="1" applyFont="1" applyFill="1" applyBorder="1"/>
    <xf numFmtId="0" fontId="2" fillId="4" borderId="0" xfId="0" applyFont="1" applyFill="1"/>
    <xf numFmtId="0" fontId="2" fillId="0" borderId="0" xfId="0" applyFont="1"/>
    <xf numFmtId="0" fontId="2" fillId="6" borderId="17" xfId="0" applyFont="1" applyFill="1" applyBorder="1" applyAlignment="1">
      <alignment horizontal="left"/>
    </xf>
    <xf numFmtId="3" fontId="2" fillId="6" borderId="8" xfId="0" applyNumberFormat="1" applyFont="1" applyFill="1" applyBorder="1" applyAlignment="1">
      <alignment wrapText="1"/>
    </xf>
    <xf numFmtId="3" fontId="2" fillId="6" borderId="5" xfId="0" applyNumberFormat="1" applyFont="1" applyFill="1" applyBorder="1" applyAlignment="1">
      <alignment wrapText="1"/>
    </xf>
    <xf numFmtId="3" fontId="2" fillId="6" borderId="6" xfId="0" applyNumberFormat="1" applyFont="1" applyFill="1" applyBorder="1" applyAlignment="1">
      <alignment wrapText="1"/>
    </xf>
    <xf numFmtId="3" fontId="2" fillId="3" borderId="8" xfId="0" applyNumberFormat="1" applyFont="1" applyFill="1" applyBorder="1" applyAlignment="1">
      <alignment wrapText="1"/>
    </xf>
    <xf numFmtId="0" fontId="11" fillId="0" borderId="4" xfId="0" applyFont="1" applyBorder="1" applyAlignment="1">
      <alignment horizontal="left" wrapText="1"/>
    </xf>
    <xf numFmtId="3" fontId="7" fillId="12" borderId="8" xfId="0" applyNumberFormat="1" applyFont="1" applyFill="1" applyBorder="1" applyAlignment="1">
      <alignment wrapText="1"/>
    </xf>
    <xf numFmtId="3" fontId="3" fillId="9" borderId="6" xfId="0" applyNumberFormat="1" applyFont="1" applyFill="1" applyBorder="1"/>
    <xf numFmtId="49" fontId="4" fillId="0" borderId="4" xfId="0" applyNumberFormat="1" applyFont="1" applyBorder="1" applyAlignment="1">
      <alignment horizontal="left" wrapText="1"/>
    </xf>
    <xf numFmtId="3" fontId="3" fillId="12" borderId="5" xfId="0" applyNumberFormat="1" applyFont="1" applyFill="1" applyBorder="1"/>
    <xf numFmtId="0" fontId="13" fillId="0" borderId="4" xfId="0" applyFont="1" applyBorder="1" applyAlignment="1">
      <alignment horizontal="left" wrapText="1"/>
    </xf>
    <xf numFmtId="9" fontId="3" fillId="0" borderId="0" xfId="0" applyNumberFormat="1" applyFont="1"/>
    <xf numFmtId="0" fontId="11" fillId="0" borderId="4" xfId="1" applyFont="1" applyBorder="1"/>
    <xf numFmtId="9" fontId="0" fillId="0" borderId="0" xfId="0" applyNumberFormat="1"/>
    <xf numFmtId="0" fontId="11" fillId="0" borderId="17" xfId="0" applyFont="1" applyBorder="1" applyAlignment="1">
      <alignment horizontal="left"/>
    </xf>
    <xf numFmtId="3" fontId="7" fillId="8" borderId="18" xfId="0" applyNumberFormat="1" applyFont="1" applyFill="1" applyBorder="1" applyAlignment="1">
      <alignment wrapText="1"/>
    </xf>
    <xf numFmtId="3" fontId="15" fillId="9" borderId="5" xfId="1" applyNumberFormat="1" applyFont="1" applyFill="1" applyBorder="1"/>
    <xf numFmtId="0" fontId="11" fillId="0" borderId="19" xfId="0" applyFont="1" applyBorder="1" applyAlignment="1">
      <alignment horizontal="left" wrapText="1"/>
    </xf>
    <xf numFmtId="3" fontId="7" fillId="8" borderId="20" xfId="0" applyNumberFormat="1" applyFont="1" applyFill="1" applyBorder="1" applyAlignment="1">
      <alignment wrapText="1"/>
    </xf>
    <xf numFmtId="0" fontId="6" fillId="0" borderId="4" xfId="0" applyFont="1" applyBorder="1"/>
    <xf numFmtId="0" fontId="2" fillId="9" borderId="0" xfId="0" applyFont="1" applyFill="1"/>
    <xf numFmtId="0" fontId="1" fillId="9" borderId="0" xfId="0" applyFont="1" applyFill="1"/>
    <xf numFmtId="0" fontId="0" fillId="9" borderId="0" xfId="0" applyFill="1"/>
    <xf numFmtId="0" fontId="11" fillId="0" borderId="4" xfId="0" applyFont="1" applyBorder="1" applyAlignment="1">
      <alignment wrapText="1"/>
    </xf>
    <xf numFmtId="3" fontId="16" fillId="0" borderId="21" xfId="0" applyNumberFormat="1" applyFont="1" applyBorder="1"/>
    <xf numFmtId="3" fontId="16" fillId="0" borderId="22" xfId="0" applyNumberFormat="1" applyFont="1" applyBorder="1"/>
    <xf numFmtId="0" fontId="11" fillId="0" borderId="17" xfId="0" applyFont="1" applyBorder="1"/>
    <xf numFmtId="3" fontId="3" fillId="8" borderId="8" xfId="0" applyNumberFormat="1" applyFont="1" applyFill="1" applyBorder="1"/>
    <xf numFmtId="0" fontId="1" fillId="6" borderId="4" xfId="0" applyFont="1" applyFill="1" applyBorder="1"/>
    <xf numFmtId="3" fontId="1" fillId="6" borderId="8" xfId="0" applyNumberFormat="1" applyFont="1" applyFill="1" applyBorder="1" applyAlignment="1">
      <alignment wrapText="1"/>
    </xf>
    <xf numFmtId="3" fontId="2" fillId="6" borderId="5" xfId="0" applyNumberFormat="1" applyFont="1" applyFill="1" applyBorder="1"/>
    <xf numFmtId="3" fontId="2" fillId="6" borderId="6" xfId="0" applyNumberFormat="1" applyFont="1" applyFill="1" applyBorder="1"/>
    <xf numFmtId="0" fontId="2" fillId="10" borderId="0" xfId="0" applyFont="1" applyFill="1"/>
    <xf numFmtId="3" fontId="3" fillId="12" borderId="23" xfId="0" applyNumberFormat="1" applyFont="1" applyFill="1" applyBorder="1" applyAlignment="1">
      <alignment horizontal="right"/>
    </xf>
    <xf numFmtId="3" fontId="3" fillId="12" borderId="6" xfId="0" applyNumberFormat="1" applyFont="1" applyFill="1" applyBorder="1"/>
    <xf numFmtId="0" fontId="11" fillId="0" borderId="24" xfId="0" applyFont="1" applyBorder="1" applyAlignment="1">
      <alignment wrapText="1"/>
    </xf>
    <xf numFmtId="3" fontId="3" fillId="8" borderId="25" xfId="0" applyNumberFormat="1" applyFont="1" applyFill="1" applyBorder="1" applyAlignment="1">
      <alignment horizontal="right"/>
    </xf>
    <xf numFmtId="3" fontId="3" fillId="0" borderId="26" xfId="0" applyNumberFormat="1" applyFont="1" applyBorder="1"/>
    <xf numFmtId="164" fontId="6" fillId="3" borderId="8" xfId="0" applyNumberFormat="1" applyFont="1" applyFill="1" applyBorder="1" applyAlignment="1">
      <alignment wrapText="1"/>
    </xf>
    <xf numFmtId="164" fontId="6" fillId="3" borderId="5" xfId="0" applyNumberFormat="1" applyFont="1" applyFill="1" applyBorder="1" applyAlignment="1">
      <alignment wrapText="1"/>
    </xf>
    <xf numFmtId="164" fontId="6" fillId="3" borderId="6" xfId="0" applyNumberFormat="1" applyFont="1" applyFill="1" applyBorder="1" applyAlignment="1">
      <alignment wrapText="1"/>
    </xf>
    <xf numFmtId="0" fontId="3" fillId="10" borderId="0" xfId="0" applyFont="1" applyFill="1"/>
    <xf numFmtId="3" fontId="7" fillId="10" borderId="8" xfId="0" applyNumberFormat="1" applyFont="1" applyFill="1" applyBorder="1" applyAlignment="1">
      <alignment wrapText="1"/>
    </xf>
    <xf numFmtId="0" fontId="7" fillId="0" borderId="17" xfId="0" applyFont="1" applyBorder="1" applyAlignment="1">
      <alignment wrapText="1"/>
    </xf>
    <xf numFmtId="10" fontId="7" fillId="0" borderId="8" xfId="0" applyNumberFormat="1" applyFont="1" applyBorder="1" applyAlignment="1">
      <alignment wrapText="1"/>
    </xf>
    <xf numFmtId="0" fontId="0" fillId="0" borderId="5" xfId="0" applyBorder="1"/>
    <xf numFmtId="0" fontId="0" fillId="0" borderId="6" xfId="0" applyBorder="1"/>
    <xf numFmtId="0" fontId="17" fillId="0" borderId="10" xfId="0" applyFont="1" applyBorder="1" applyAlignment="1">
      <alignment wrapText="1"/>
    </xf>
    <xf numFmtId="3" fontId="17" fillId="3" borderId="11" xfId="0" applyNumberFormat="1" applyFont="1" applyFill="1" applyBorder="1" applyAlignment="1">
      <alignment wrapText="1"/>
    </xf>
    <xf numFmtId="3" fontId="17" fillId="3" borderId="12" xfId="0" applyNumberFormat="1" applyFont="1" applyFill="1" applyBorder="1" applyAlignment="1">
      <alignment wrapText="1"/>
    </xf>
    <xf numFmtId="0" fontId="17" fillId="0" borderId="0" xfId="0" applyFont="1"/>
    <xf numFmtId="0" fontId="18" fillId="0" borderId="0" xfId="0" applyFont="1" applyAlignment="1">
      <alignment wrapText="1"/>
    </xf>
    <xf numFmtId="3" fontId="18" fillId="0" borderId="0" xfId="0" applyNumberFormat="1" applyFont="1" applyAlignment="1">
      <alignment horizontal="right" wrapText="1"/>
    </xf>
    <xf numFmtId="0" fontId="11" fillId="0" borderId="0" xfId="0" applyFont="1"/>
    <xf numFmtId="0" fontId="18" fillId="0" borderId="0" xfId="0" applyFont="1"/>
    <xf numFmtId="0" fontId="3" fillId="0" borderId="5" xfId="0" applyFont="1" applyBorder="1" applyAlignment="1">
      <alignment wrapText="1"/>
    </xf>
    <xf numFmtId="3" fontId="11" fillId="0" borderId="5" xfId="0" applyNumberFormat="1" applyFont="1" applyBorder="1" applyAlignment="1">
      <alignment horizontal="center" wrapText="1"/>
    </xf>
    <xf numFmtId="9" fontId="11" fillId="0" borderId="5" xfId="0" applyNumberFormat="1" applyFont="1" applyBorder="1" applyAlignment="1">
      <alignment wrapText="1"/>
    </xf>
    <xf numFmtId="4" fontId="11" fillId="0" borderId="5" xfId="0" applyNumberFormat="1" applyFont="1" applyBorder="1" applyAlignment="1">
      <alignment wrapText="1"/>
    </xf>
    <xf numFmtId="0" fontId="1" fillId="2" borderId="13" xfId="0" applyFont="1" applyFill="1" applyBorder="1" applyAlignment="1">
      <alignment horizontal="left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4" xfId="2" applyFont="1" applyBorder="1"/>
    <xf numFmtId="3" fontId="2" fillId="8" borderId="5" xfId="0" applyNumberFormat="1" applyFont="1" applyFill="1" applyBorder="1"/>
    <xf numFmtId="3" fontId="2" fillId="8" borderId="6" xfId="0" applyNumberFormat="1" applyFont="1" applyFill="1" applyBorder="1"/>
    <xf numFmtId="0" fontId="4" fillId="0" borderId="4" xfId="0" applyFont="1" applyBorder="1" applyAlignment="1">
      <alignment wrapText="1"/>
    </xf>
    <xf numFmtId="0" fontId="2" fillId="9" borderId="4" xfId="0" applyFont="1" applyFill="1" applyBorder="1" applyAlignment="1">
      <alignment wrapText="1"/>
    </xf>
    <xf numFmtId="3" fontId="2" fillId="9" borderId="5" xfId="0" applyNumberFormat="1" applyFont="1" applyFill="1" applyBorder="1"/>
    <xf numFmtId="3" fontId="2" fillId="9" borderId="6" xfId="0" applyNumberFormat="1" applyFont="1" applyFill="1" applyBorder="1"/>
    <xf numFmtId="0" fontId="3" fillId="9" borderId="0" xfId="0" applyFont="1" applyFill="1"/>
    <xf numFmtId="0" fontId="4" fillId="9" borderId="4" xfId="0" applyFont="1" applyFill="1" applyBorder="1" applyAlignment="1">
      <alignment wrapText="1"/>
    </xf>
    <xf numFmtId="0" fontId="4" fillId="9" borderId="10" xfId="0" applyFont="1" applyFill="1" applyBorder="1" applyAlignment="1">
      <alignment wrapText="1"/>
    </xf>
    <xf numFmtId="3" fontId="3" fillId="9" borderId="11" xfId="0" applyNumberFormat="1" applyFont="1" applyFill="1" applyBorder="1"/>
    <xf numFmtId="0" fontId="19" fillId="0" borderId="27" xfId="0" applyFont="1" applyBorder="1"/>
    <xf numFmtId="3" fontId="20" fillId="10" borderId="0" xfId="0" applyNumberFormat="1" applyFont="1" applyFill="1"/>
    <xf numFmtId="3" fontId="20" fillId="0" borderId="0" xfId="0" applyNumberFormat="1" applyFont="1"/>
    <xf numFmtId="0" fontId="1" fillId="0" borderId="5" xfId="0" applyFont="1" applyBorder="1"/>
    <xf numFmtId="0" fontId="0" fillId="12" borderId="5" xfId="0" applyFill="1" applyBorder="1"/>
    <xf numFmtId="3" fontId="0" fillId="0" borderId="5" xfId="0" applyNumberFormat="1" applyBorder="1"/>
    <xf numFmtId="0" fontId="1" fillId="0" borderId="4" xfId="2" applyFont="1" applyBorder="1"/>
    <xf numFmtId="0" fontId="1" fillId="0" borderId="0" xfId="0" applyFont="1" applyAlignment="1">
      <alignment wrapText="1"/>
    </xf>
    <xf numFmtId="0" fontId="1" fillId="0" borderId="4" xfId="3" applyFont="1" applyBorder="1" applyAlignment="1">
      <alignment wrapText="1"/>
    </xf>
    <xf numFmtId="3" fontId="0" fillId="9" borderId="5" xfId="0" applyNumberFormat="1" applyFill="1" applyBorder="1"/>
    <xf numFmtId="0" fontId="1" fillId="0" borderId="4" xfId="2" applyFont="1" applyBorder="1" applyAlignment="1">
      <alignment wrapText="1"/>
    </xf>
    <xf numFmtId="0" fontId="21" fillId="0" borderId="0" xfId="0" applyFont="1" applyAlignment="1">
      <alignment wrapText="1"/>
    </xf>
    <xf numFmtId="0" fontId="1" fillId="0" borderId="4" xfId="0" applyFont="1" applyBorder="1" applyAlignment="1">
      <alignment horizontal="left" vertical="center"/>
    </xf>
    <xf numFmtId="3" fontId="1" fillId="0" borderId="5" xfId="0" applyNumberFormat="1" applyFont="1" applyBorder="1" applyAlignment="1">
      <alignment horizontal="right" wrapText="1"/>
    </xf>
    <xf numFmtId="3" fontId="1" fillId="0" borderId="6" xfId="0" applyNumberFormat="1" applyFont="1" applyBorder="1" applyAlignment="1">
      <alignment horizontal="right" wrapText="1"/>
    </xf>
    <xf numFmtId="0" fontId="6" fillId="0" borderId="4" xfId="0" applyFont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3" fontId="1" fillId="4" borderId="5" xfId="0" applyNumberFormat="1" applyFont="1" applyFill="1" applyBorder="1" applyAlignment="1">
      <alignment horizontal="right" wrapText="1"/>
    </xf>
    <xf numFmtId="3" fontId="1" fillId="4" borderId="6" xfId="0" applyNumberFormat="1" applyFont="1" applyFill="1" applyBorder="1" applyAlignment="1">
      <alignment horizontal="right" wrapText="1"/>
    </xf>
    <xf numFmtId="3" fontId="7" fillId="0" borderId="5" xfId="0" applyNumberFormat="1" applyFont="1" applyBorder="1" applyAlignment="1">
      <alignment wrapText="1"/>
    </xf>
    <xf numFmtId="3" fontId="7" fillId="0" borderId="5" xfId="0" applyNumberFormat="1" applyFont="1" applyBorder="1"/>
    <xf numFmtId="3" fontId="7" fillId="0" borderId="6" xfId="0" applyNumberFormat="1" applyFont="1" applyBorder="1"/>
    <xf numFmtId="3" fontId="1" fillId="0" borderId="5" xfId="0" applyNumberFormat="1" applyFont="1" applyBorder="1" applyAlignment="1">
      <alignment wrapText="1"/>
    </xf>
    <xf numFmtId="3" fontId="1" fillId="0" borderId="6" xfId="0" applyNumberFormat="1" applyFont="1" applyBorder="1" applyAlignment="1">
      <alignment wrapText="1"/>
    </xf>
    <xf numFmtId="0" fontId="6" fillId="0" borderId="28" xfId="0" applyFont="1" applyBorder="1" applyAlignment="1">
      <alignment horizontal="left" vertical="center"/>
    </xf>
    <xf numFmtId="3" fontId="1" fillId="0" borderId="29" xfId="0" applyNumberFormat="1" applyFont="1" applyBorder="1" applyAlignment="1">
      <alignment wrapText="1"/>
    </xf>
    <xf numFmtId="3" fontId="1" fillId="0" borderId="30" xfId="0" applyNumberFormat="1" applyFont="1" applyBorder="1" applyAlignment="1">
      <alignment wrapText="1"/>
    </xf>
    <xf numFmtId="3" fontId="1" fillId="0" borderId="31" xfId="0" applyNumberFormat="1" applyFont="1" applyBorder="1" applyAlignment="1">
      <alignment wrapText="1"/>
    </xf>
    <xf numFmtId="0" fontId="6" fillId="0" borderId="5" xfId="0" applyFont="1" applyBorder="1" applyAlignment="1">
      <alignment horizontal="left" vertical="center"/>
    </xf>
    <xf numFmtId="3" fontId="7" fillId="0" borderId="30" xfId="0" applyNumberFormat="1" applyFont="1" applyBorder="1" applyAlignment="1">
      <alignment wrapText="1"/>
    </xf>
    <xf numFmtId="3" fontId="7" fillId="0" borderId="31" xfId="0" applyNumberFormat="1" applyFont="1" applyBorder="1" applyAlignment="1">
      <alignment wrapText="1"/>
    </xf>
    <xf numFmtId="3" fontId="7" fillId="4" borderId="5" xfId="0" applyNumberFormat="1" applyFont="1" applyFill="1" applyBorder="1" applyAlignment="1">
      <alignment wrapText="1"/>
    </xf>
    <xf numFmtId="3" fontId="7" fillId="4" borderId="30" xfId="0" applyNumberFormat="1" applyFont="1" applyFill="1" applyBorder="1" applyAlignment="1">
      <alignment wrapText="1"/>
    </xf>
    <xf numFmtId="3" fontId="7" fillId="4" borderId="31" xfId="0" applyNumberFormat="1" applyFont="1" applyFill="1" applyBorder="1" applyAlignment="1">
      <alignment wrapText="1"/>
    </xf>
    <xf numFmtId="0" fontId="1" fillId="0" borderId="5" xfId="0" applyFont="1" applyBorder="1" applyAlignment="1">
      <alignment horizontal="left" vertical="center"/>
    </xf>
    <xf numFmtId="3" fontId="26" fillId="3" borderId="5" xfId="0" applyNumberFormat="1" applyFont="1" applyFill="1" applyBorder="1" applyAlignment="1">
      <alignment wrapText="1"/>
    </xf>
    <xf numFmtId="0" fontId="7" fillId="0" borderId="17" xfId="0" applyFont="1" applyBorder="1"/>
    <xf numFmtId="0" fontId="7" fillId="0" borderId="5" xfId="0" applyFont="1" applyBorder="1"/>
    <xf numFmtId="0" fontId="7" fillId="0" borderId="6" xfId="0" applyFont="1" applyBorder="1"/>
    <xf numFmtId="3" fontId="1" fillId="3" borderId="6" xfId="0" applyNumberFormat="1" applyFont="1" applyFill="1" applyBorder="1"/>
    <xf numFmtId="3" fontId="7" fillId="0" borderId="5" xfId="0" applyNumberFormat="1" applyFont="1" applyBorder="1" applyAlignment="1">
      <alignment horizontal="right" vertical="center"/>
    </xf>
    <xf numFmtId="3" fontId="7" fillId="13" borderId="5" xfId="0" applyNumberFormat="1" applyFont="1" applyFill="1" applyBorder="1"/>
    <xf numFmtId="3" fontId="7" fillId="0" borderId="32" xfId="0" applyNumberFormat="1" applyFont="1" applyBorder="1"/>
    <xf numFmtId="3" fontId="7" fillId="0" borderId="18" xfId="0" applyNumberFormat="1" applyFont="1" applyBorder="1"/>
    <xf numFmtId="0" fontId="6" fillId="4" borderId="4" xfId="0" applyFont="1" applyFill="1" applyBorder="1" applyAlignment="1">
      <alignment vertical="top" wrapText="1"/>
    </xf>
    <xf numFmtId="3" fontId="7" fillId="4" borderId="5" xfId="0" applyNumberFormat="1" applyFont="1" applyFill="1" applyBorder="1" applyAlignment="1">
      <alignment horizontal="right" vertical="center"/>
    </xf>
    <xf numFmtId="3" fontId="7" fillId="4" borderId="5" xfId="0" applyNumberFormat="1" applyFont="1" applyFill="1" applyBorder="1"/>
    <xf numFmtId="3" fontId="7" fillId="4" borderId="32" xfId="0" applyNumberFormat="1" applyFont="1" applyFill="1" applyBorder="1"/>
    <xf numFmtId="3" fontId="7" fillId="4" borderId="18" xfId="0" applyNumberFormat="1" applyFont="1" applyFill="1" applyBorder="1"/>
    <xf numFmtId="0" fontId="1" fillId="0" borderId="10" xfId="0" applyFont="1" applyBorder="1" applyAlignment="1">
      <alignment wrapText="1"/>
    </xf>
    <xf numFmtId="164" fontId="7" fillId="3" borderId="11" xfId="0" applyNumberFormat="1" applyFont="1" applyFill="1" applyBorder="1" applyAlignment="1">
      <alignment wrapText="1"/>
    </xf>
    <xf numFmtId="164" fontId="7" fillId="3" borderId="12" xfId="0" applyNumberFormat="1" applyFont="1" applyFill="1" applyBorder="1" applyAlignment="1">
      <alignment wrapText="1"/>
    </xf>
    <xf numFmtId="0" fontId="7" fillId="0" borderId="0" xfId="0" applyFont="1" applyAlignment="1">
      <alignment wrapText="1"/>
    </xf>
    <xf numFmtId="3" fontId="7" fillId="10" borderId="5" xfId="0" applyNumberFormat="1" applyFont="1" applyFill="1" applyBorder="1" applyAlignment="1">
      <alignment wrapText="1"/>
    </xf>
    <xf numFmtId="0" fontId="1" fillId="2" borderId="15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left" wrapText="1"/>
    </xf>
    <xf numFmtId="3" fontId="7" fillId="0" borderId="33" xfId="0" applyNumberFormat="1" applyFont="1" applyBorder="1" applyAlignment="1">
      <alignment horizontal="right" vertical="center"/>
    </xf>
    <xf numFmtId="3" fontId="7" fillId="0" borderId="26" xfId="0" applyNumberFormat="1" applyFont="1" applyBorder="1"/>
    <xf numFmtId="3" fontId="7" fillId="4" borderId="26" xfId="0" applyNumberFormat="1" applyFont="1" applyFill="1" applyBorder="1"/>
    <xf numFmtId="0" fontId="7" fillId="0" borderId="0" xfId="0" applyFont="1"/>
    <xf numFmtId="0" fontId="6" fillId="0" borderId="34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3" fontId="7" fillId="3" borderId="5" xfId="0" applyNumberFormat="1" applyFont="1" applyFill="1" applyBorder="1" applyAlignment="1">
      <alignment horizontal="right" wrapText="1"/>
    </xf>
    <xf numFmtId="3" fontId="7" fillId="3" borderId="6" xfId="0" applyNumberFormat="1" applyFont="1" applyFill="1" applyBorder="1" applyAlignment="1">
      <alignment horizontal="right" wrapText="1"/>
    </xf>
    <xf numFmtId="0" fontId="6" fillId="4" borderId="4" xfId="0" applyFont="1" applyFill="1" applyBorder="1" applyAlignment="1">
      <alignment horizontal="left" vertical="center"/>
    </xf>
    <xf numFmtId="3" fontId="7" fillId="4" borderId="5" xfId="0" applyNumberFormat="1" applyFont="1" applyFill="1" applyBorder="1" applyAlignment="1">
      <alignment horizontal="right" wrapText="1"/>
    </xf>
    <xf numFmtId="3" fontId="7" fillId="4" borderId="6" xfId="0" applyNumberFormat="1" applyFont="1" applyFill="1" applyBorder="1" applyAlignment="1">
      <alignment horizontal="right" wrapText="1"/>
    </xf>
    <xf numFmtId="3" fontId="7" fillId="4" borderId="6" xfId="0" applyNumberFormat="1" applyFont="1" applyFill="1" applyBorder="1" applyAlignment="1">
      <alignment wrapText="1"/>
    </xf>
    <xf numFmtId="0" fontId="7" fillId="3" borderId="5" xfId="0" applyFont="1" applyFill="1" applyBorder="1"/>
    <xf numFmtId="0" fontId="7" fillId="3" borderId="6" xfId="0" applyFont="1" applyFill="1" applyBorder="1"/>
    <xf numFmtId="10" fontId="7" fillId="0" borderId="0" xfId="0" applyNumberFormat="1" applyFont="1" applyAlignment="1">
      <alignment wrapText="1"/>
    </xf>
    <xf numFmtId="0" fontId="7" fillId="3" borderId="5" xfId="0" applyFont="1" applyFill="1" applyBorder="1" applyAlignment="1">
      <alignment wrapText="1"/>
    </xf>
    <xf numFmtId="0" fontId="27" fillId="0" borderId="0" xfId="0" applyFont="1"/>
  </cellXfs>
  <cellStyles count="4">
    <cellStyle name="Normal" xfId="0" builtinId="0"/>
    <cellStyle name="Normal 18" xfId="3" xr:uid="{5A42AF69-6293-4703-94BF-A59140EEAAFB}"/>
    <cellStyle name="Normal_Sheet1" xfId="1" xr:uid="{3DCAA6CA-4CB2-4899-812E-408F7B8F48E6}"/>
    <cellStyle name="Normal_Sheet1 2" xfId="2" xr:uid="{3B2FE15E-AF15-4C71-83FD-C6CA83CD672C}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tapavv-my.sharepoint.com/personal/marko_teiva_tapa_ee/Documents/T&#246;&#246;laud/Arenegukava/2023/16.02.2024/Lisa%204%20Eelarvestrateegia%20tabel.xls" TargetMode="External"/><Relationship Id="rId1" Type="http://schemas.openxmlformats.org/officeDocument/2006/relationships/externalLinkPath" Target="Lisa%204%20Eelarvestrateegia%20tab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elarvearuanne"/>
      <sheetName val="Strateegia vorm KOV"/>
      <sheetName val="Strateegia vorm valdkonniti"/>
      <sheetName val="Strateegia vorm sõltuv üksus"/>
      <sheetName val="Strateegia vorm arvestusüksus"/>
      <sheetName val="laenud"/>
      <sheetName val="Tulubaas"/>
      <sheetName val="Tasandusfond 2024 jaan"/>
      <sheetName val="elanike koosseis"/>
    </sheetNames>
    <sheetDataSet>
      <sheetData sheetId="0">
        <row r="7">
          <cell r="D7">
            <v>10204383</v>
          </cell>
          <cell r="H7">
            <v>9371419.7000000011</v>
          </cell>
        </row>
        <row r="8">
          <cell r="D8">
            <v>9916254</v>
          </cell>
          <cell r="H8">
            <v>9083905.9700000007</v>
          </cell>
        </row>
        <row r="9">
          <cell r="D9">
            <v>287074</v>
          </cell>
          <cell r="H9">
            <v>287145.23</v>
          </cell>
        </row>
        <row r="14">
          <cell r="D14">
            <v>1360749</v>
          </cell>
          <cell r="H14">
            <v>1051535.44</v>
          </cell>
        </row>
        <row r="16">
          <cell r="D16">
            <v>2110280</v>
          </cell>
          <cell r="H16">
            <v>1933180</v>
          </cell>
        </row>
        <row r="17">
          <cell r="D17">
            <v>6344326</v>
          </cell>
          <cell r="H17">
            <v>5119338</v>
          </cell>
        </row>
        <row r="18">
          <cell r="D18">
            <v>408553</v>
          </cell>
          <cell r="H18">
            <v>1116173.95</v>
          </cell>
        </row>
        <row r="19">
          <cell r="D19">
            <v>109660.70999999999</v>
          </cell>
          <cell r="H19">
            <v>168964.65</v>
          </cell>
        </row>
        <row r="25">
          <cell r="D25">
            <v>-1381651</v>
          </cell>
          <cell r="H25">
            <v>-907407.54</v>
          </cell>
        </row>
        <row r="31">
          <cell r="D31">
            <v>-12232473</v>
          </cell>
          <cell r="H31">
            <v>-10381410.18</v>
          </cell>
        </row>
        <row r="32">
          <cell r="D32">
            <v>-6241155</v>
          </cell>
          <cell r="H32">
            <v>-5995903.5899999999</v>
          </cell>
        </row>
        <row r="33">
          <cell r="D33">
            <v>-9963</v>
          </cell>
          <cell r="H33">
            <v>-709.51</v>
          </cell>
        </row>
        <row r="36">
          <cell r="D36">
            <v>193000</v>
          </cell>
          <cell r="H36">
            <v>17588.43</v>
          </cell>
        </row>
        <row r="37">
          <cell r="D37">
            <v>-1768482</v>
          </cell>
          <cell r="H37">
            <v>-1886638.61</v>
          </cell>
        </row>
        <row r="38">
          <cell r="D38">
            <v>554975</v>
          </cell>
          <cell r="H38">
            <v>884545.83</v>
          </cell>
        </row>
        <row r="39">
          <cell r="D39">
            <v>-71885.240000000005</v>
          </cell>
          <cell r="H39">
            <v>-114287.76</v>
          </cell>
        </row>
        <row r="44">
          <cell r="D44">
            <v>72900</v>
          </cell>
          <cell r="H44">
            <v>72900</v>
          </cell>
        </row>
        <row r="46">
          <cell r="D46">
            <v>9977</v>
          </cell>
          <cell r="H46">
            <v>1252.7</v>
          </cell>
        </row>
        <row r="47">
          <cell r="D47">
            <v>-408483</v>
          </cell>
          <cell r="H47">
            <v>-129085.54</v>
          </cell>
        </row>
        <row r="50">
          <cell r="D50">
            <v>1200000</v>
          </cell>
          <cell r="H50">
            <v>1934120</v>
          </cell>
        </row>
        <row r="51">
          <cell r="D51">
            <v>-1633076</v>
          </cell>
          <cell r="H51">
            <v>-1479615.84</v>
          </cell>
        </row>
        <row r="52">
          <cell r="D52">
            <v>-850227.53</v>
          </cell>
          <cell r="H52">
            <v>-22624.97</v>
          </cell>
        </row>
        <row r="53">
          <cell r="D53">
            <v>328137</v>
          </cell>
          <cell r="H53">
            <v>-798585.1</v>
          </cell>
        </row>
        <row r="156">
          <cell r="H156">
            <v>10438774.32</v>
          </cell>
        </row>
        <row r="158">
          <cell r="H158">
            <v>1607486.02</v>
          </cell>
        </row>
      </sheetData>
      <sheetData sheetId="1">
        <row r="2">
          <cell r="B2">
            <v>18760611.739999998</v>
          </cell>
          <cell r="C2">
            <v>20537951.710000001</v>
          </cell>
          <cell r="D2">
            <v>22046787</v>
          </cell>
          <cell r="E2">
            <v>22316749</v>
          </cell>
          <cell r="F2">
            <v>22971749</v>
          </cell>
          <cell r="G2">
            <v>23471749</v>
          </cell>
          <cell r="H2">
            <v>23971749</v>
          </cell>
        </row>
        <row r="13">
          <cell r="B13">
            <v>17285430.82</v>
          </cell>
          <cell r="C13">
            <v>19865242</v>
          </cell>
          <cell r="D13">
            <v>20661278</v>
          </cell>
          <cell r="E13">
            <v>20542340.399999999</v>
          </cell>
          <cell r="F13">
            <v>20926187.208000001</v>
          </cell>
          <cell r="G13">
            <v>21317710.952160001</v>
          </cell>
          <cell r="H13">
            <v>21717065.1712032</v>
          </cell>
        </row>
        <row r="21">
          <cell r="B21">
            <v>-1153724.9500000002</v>
          </cell>
          <cell r="C21">
            <v>-1417998.24</v>
          </cell>
          <cell r="D21">
            <v>-1100425.6000000001</v>
          </cell>
          <cell r="E21">
            <v>-2281578.3328</v>
          </cell>
          <cell r="F21">
            <v>-2308142.6528000003</v>
          </cell>
          <cell r="G21">
            <v>-931944.57279999997</v>
          </cell>
          <cell r="H21">
            <v>-788684.86959999998</v>
          </cell>
        </row>
        <row r="29">
          <cell r="B29">
            <v>72900</v>
          </cell>
          <cell r="C29">
            <v>72900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</row>
        <row r="34">
          <cell r="B34">
            <v>454504.15999999992</v>
          </cell>
          <cell r="C34">
            <v>-433076</v>
          </cell>
          <cell r="D34">
            <v>-622296</v>
          </cell>
          <cell r="E34">
            <v>664108</v>
          </cell>
          <cell r="F34">
            <v>470048</v>
          </cell>
          <cell r="G34">
            <v>-1229952</v>
          </cell>
          <cell r="H34">
            <v>-1179957</v>
          </cell>
        </row>
        <row r="37">
          <cell r="B37">
            <v>-22624.97</v>
          </cell>
          <cell r="C37">
            <v>-850227.53</v>
          </cell>
          <cell r="D37">
            <v>-665348.60000000009</v>
          </cell>
          <cell r="E37">
            <v>156938.26720000152</v>
          </cell>
          <cell r="F37">
            <v>207467.13919999916</v>
          </cell>
          <cell r="G37">
            <v>-7858.5249600007664</v>
          </cell>
          <cell r="H37">
            <v>286041.95919680037</v>
          </cell>
        </row>
        <row r="41">
          <cell r="B41">
            <v>1607486.02</v>
          </cell>
        </row>
        <row r="42">
          <cell r="B42">
            <v>10438774.32</v>
          </cell>
          <cell r="C42">
            <v>10005698.32</v>
          </cell>
          <cell r="D42">
            <v>9383402.3200000003</v>
          </cell>
          <cell r="E42">
            <v>10047510.32</v>
          </cell>
          <cell r="F42">
            <v>10517558.32</v>
          </cell>
          <cell r="G42">
            <v>9287606.3200000003</v>
          </cell>
          <cell r="H42">
            <v>8107649.3200000003</v>
          </cell>
        </row>
        <row r="44">
          <cell r="B44">
            <v>0</v>
          </cell>
          <cell r="C44">
            <v>0</v>
          </cell>
        </row>
      </sheetData>
      <sheetData sheetId="2" refreshError="1"/>
      <sheetData sheetId="3">
        <row r="242">
          <cell r="B242">
            <v>483003</v>
          </cell>
          <cell r="C242">
            <v>526900</v>
          </cell>
          <cell r="D242">
            <v>600666</v>
          </cell>
          <cell r="E242">
            <v>684759</v>
          </cell>
          <cell r="F242">
            <v>780626</v>
          </cell>
          <cell r="G242">
            <v>889914</v>
          </cell>
          <cell r="H242">
            <v>889914</v>
          </cell>
        </row>
        <row r="243"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</row>
        <row r="244"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</row>
        <row r="245">
          <cell r="B245">
            <v>481267</v>
          </cell>
          <cell r="C245">
            <v>502000</v>
          </cell>
          <cell r="D245">
            <v>592360</v>
          </cell>
          <cell r="E245">
            <v>698985</v>
          </cell>
          <cell r="F245">
            <v>780000</v>
          </cell>
          <cell r="G245">
            <v>888000</v>
          </cell>
          <cell r="H245">
            <v>888000</v>
          </cell>
        </row>
        <row r="246">
          <cell r="B246">
            <v>8915</v>
          </cell>
          <cell r="C246">
            <v>9000</v>
          </cell>
          <cell r="D246">
            <v>9000</v>
          </cell>
          <cell r="E246">
            <v>9000</v>
          </cell>
          <cell r="F246">
            <v>9000</v>
          </cell>
          <cell r="G246">
            <v>9000</v>
          </cell>
          <cell r="H246">
            <v>9000</v>
          </cell>
        </row>
        <row r="247"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</row>
        <row r="249"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</row>
        <row r="251"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</row>
        <row r="252">
          <cell r="B252">
            <v>1804</v>
          </cell>
          <cell r="C252">
            <v>15000</v>
          </cell>
          <cell r="D252">
            <v>5000</v>
          </cell>
          <cell r="E252">
            <v>-5000</v>
          </cell>
          <cell r="F252">
            <v>1000</v>
          </cell>
          <cell r="G252">
            <v>9000</v>
          </cell>
          <cell r="H252">
            <v>9000</v>
          </cell>
        </row>
        <row r="255">
          <cell r="B255">
            <v>58512</v>
          </cell>
        </row>
        <row r="256"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</row>
        <row r="257"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</row>
        <row r="258"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</row>
        <row r="259"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</row>
      </sheetData>
      <sheetData sheetId="4" refreshError="1"/>
      <sheetData sheetId="5">
        <row r="43">
          <cell r="F43">
            <v>1335892</v>
          </cell>
          <cell r="G43">
            <v>1529952</v>
          </cell>
          <cell r="H43">
            <v>1729952</v>
          </cell>
          <cell r="I43">
            <v>1679957</v>
          </cell>
        </row>
        <row r="47">
          <cell r="F47">
            <v>368078.33280000003</v>
          </cell>
          <cell r="G47">
            <v>394642.65280000004</v>
          </cell>
          <cell r="H47">
            <v>413444.57280000002</v>
          </cell>
          <cell r="I47">
            <v>270184.86959999998</v>
          </cell>
        </row>
      </sheetData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C33F3-B7FB-486B-9C94-B385B03D9A57}">
  <dimension ref="A1:R186"/>
  <sheetViews>
    <sheetView topLeftCell="A13" workbookViewId="0">
      <selection activeCell="A168" sqref="A168:XFD168"/>
    </sheetView>
  </sheetViews>
  <sheetFormatPr defaultColWidth="9.109375" defaultRowHeight="14.4"/>
  <cols>
    <col min="1" max="1" width="47.33203125" customWidth="1"/>
    <col min="2" max="2" width="10.88671875" customWidth="1"/>
    <col min="3" max="8" width="10.6640625" customWidth="1"/>
    <col min="9" max="9" width="11.33203125" hidden="1" customWidth="1"/>
    <col min="10" max="10" width="12.109375" hidden="1" customWidth="1"/>
    <col min="11" max="11" width="8.109375" hidden="1" customWidth="1"/>
    <col min="12" max="14" width="9.109375" hidden="1" customWidth="1"/>
    <col min="15" max="15" width="53.33203125" hidden="1" customWidth="1"/>
    <col min="18" max="18" width="51" customWidth="1"/>
    <col min="257" max="257" width="47.33203125" customWidth="1"/>
    <col min="258" max="258" width="10.88671875" customWidth="1"/>
    <col min="259" max="264" width="10.6640625" customWidth="1"/>
    <col min="265" max="271" width="0" hidden="1" customWidth="1"/>
    <col min="274" max="274" width="51" customWidth="1"/>
    <col min="513" max="513" width="47.33203125" customWidth="1"/>
    <col min="514" max="514" width="10.88671875" customWidth="1"/>
    <col min="515" max="520" width="10.6640625" customWidth="1"/>
    <col min="521" max="527" width="0" hidden="1" customWidth="1"/>
    <col min="530" max="530" width="51" customWidth="1"/>
    <col min="769" max="769" width="47.33203125" customWidth="1"/>
    <col min="770" max="770" width="10.88671875" customWidth="1"/>
    <col min="771" max="776" width="10.6640625" customWidth="1"/>
    <col min="777" max="783" width="0" hidden="1" customWidth="1"/>
    <col min="786" max="786" width="51" customWidth="1"/>
    <col min="1025" max="1025" width="47.33203125" customWidth="1"/>
    <col min="1026" max="1026" width="10.88671875" customWidth="1"/>
    <col min="1027" max="1032" width="10.6640625" customWidth="1"/>
    <col min="1033" max="1039" width="0" hidden="1" customWidth="1"/>
    <col min="1042" max="1042" width="51" customWidth="1"/>
    <col min="1281" max="1281" width="47.33203125" customWidth="1"/>
    <col min="1282" max="1282" width="10.88671875" customWidth="1"/>
    <col min="1283" max="1288" width="10.6640625" customWidth="1"/>
    <col min="1289" max="1295" width="0" hidden="1" customWidth="1"/>
    <col min="1298" max="1298" width="51" customWidth="1"/>
    <col min="1537" max="1537" width="47.33203125" customWidth="1"/>
    <col min="1538" max="1538" width="10.88671875" customWidth="1"/>
    <col min="1539" max="1544" width="10.6640625" customWidth="1"/>
    <col min="1545" max="1551" width="0" hidden="1" customWidth="1"/>
    <col min="1554" max="1554" width="51" customWidth="1"/>
    <col min="1793" max="1793" width="47.33203125" customWidth="1"/>
    <col min="1794" max="1794" width="10.88671875" customWidth="1"/>
    <col min="1795" max="1800" width="10.6640625" customWidth="1"/>
    <col min="1801" max="1807" width="0" hidden="1" customWidth="1"/>
    <col min="1810" max="1810" width="51" customWidth="1"/>
    <col min="2049" max="2049" width="47.33203125" customWidth="1"/>
    <col min="2050" max="2050" width="10.88671875" customWidth="1"/>
    <col min="2051" max="2056" width="10.6640625" customWidth="1"/>
    <col min="2057" max="2063" width="0" hidden="1" customWidth="1"/>
    <col min="2066" max="2066" width="51" customWidth="1"/>
    <col min="2305" max="2305" width="47.33203125" customWidth="1"/>
    <col min="2306" max="2306" width="10.88671875" customWidth="1"/>
    <col min="2307" max="2312" width="10.6640625" customWidth="1"/>
    <col min="2313" max="2319" width="0" hidden="1" customWidth="1"/>
    <col min="2322" max="2322" width="51" customWidth="1"/>
    <col min="2561" max="2561" width="47.33203125" customWidth="1"/>
    <col min="2562" max="2562" width="10.88671875" customWidth="1"/>
    <col min="2563" max="2568" width="10.6640625" customWidth="1"/>
    <col min="2569" max="2575" width="0" hidden="1" customWidth="1"/>
    <col min="2578" max="2578" width="51" customWidth="1"/>
    <col min="2817" max="2817" width="47.33203125" customWidth="1"/>
    <col min="2818" max="2818" width="10.88671875" customWidth="1"/>
    <col min="2819" max="2824" width="10.6640625" customWidth="1"/>
    <col min="2825" max="2831" width="0" hidden="1" customWidth="1"/>
    <col min="2834" max="2834" width="51" customWidth="1"/>
    <col min="3073" max="3073" width="47.33203125" customWidth="1"/>
    <col min="3074" max="3074" width="10.88671875" customWidth="1"/>
    <col min="3075" max="3080" width="10.6640625" customWidth="1"/>
    <col min="3081" max="3087" width="0" hidden="1" customWidth="1"/>
    <col min="3090" max="3090" width="51" customWidth="1"/>
    <col min="3329" max="3329" width="47.33203125" customWidth="1"/>
    <col min="3330" max="3330" width="10.88671875" customWidth="1"/>
    <col min="3331" max="3336" width="10.6640625" customWidth="1"/>
    <col min="3337" max="3343" width="0" hidden="1" customWidth="1"/>
    <col min="3346" max="3346" width="51" customWidth="1"/>
    <col min="3585" max="3585" width="47.33203125" customWidth="1"/>
    <col min="3586" max="3586" width="10.88671875" customWidth="1"/>
    <col min="3587" max="3592" width="10.6640625" customWidth="1"/>
    <col min="3593" max="3599" width="0" hidden="1" customWidth="1"/>
    <col min="3602" max="3602" width="51" customWidth="1"/>
    <col min="3841" max="3841" width="47.33203125" customWidth="1"/>
    <col min="3842" max="3842" width="10.88671875" customWidth="1"/>
    <col min="3843" max="3848" width="10.6640625" customWidth="1"/>
    <col min="3849" max="3855" width="0" hidden="1" customWidth="1"/>
    <col min="3858" max="3858" width="51" customWidth="1"/>
    <col min="4097" max="4097" width="47.33203125" customWidth="1"/>
    <col min="4098" max="4098" width="10.88671875" customWidth="1"/>
    <col min="4099" max="4104" width="10.6640625" customWidth="1"/>
    <col min="4105" max="4111" width="0" hidden="1" customWidth="1"/>
    <col min="4114" max="4114" width="51" customWidth="1"/>
    <col min="4353" max="4353" width="47.33203125" customWidth="1"/>
    <col min="4354" max="4354" width="10.88671875" customWidth="1"/>
    <col min="4355" max="4360" width="10.6640625" customWidth="1"/>
    <col min="4361" max="4367" width="0" hidden="1" customWidth="1"/>
    <col min="4370" max="4370" width="51" customWidth="1"/>
    <col min="4609" max="4609" width="47.33203125" customWidth="1"/>
    <col min="4610" max="4610" width="10.88671875" customWidth="1"/>
    <col min="4611" max="4616" width="10.6640625" customWidth="1"/>
    <col min="4617" max="4623" width="0" hidden="1" customWidth="1"/>
    <col min="4626" max="4626" width="51" customWidth="1"/>
    <col min="4865" max="4865" width="47.33203125" customWidth="1"/>
    <col min="4866" max="4866" width="10.88671875" customWidth="1"/>
    <col min="4867" max="4872" width="10.6640625" customWidth="1"/>
    <col min="4873" max="4879" width="0" hidden="1" customWidth="1"/>
    <col min="4882" max="4882" width="51" customWidth="1"/>
    <col min="5121" max="5121" width="47.33203125" customWidth="1"/>
    <col min="5122" max="5122" width="10.88671875" customWidth="1"/>
    <col min="5123" max="5128" width="10.6640625" customWidth="1"/>
    <col min="5129" max="5135" width="0" hidden="1" customWidth="1"/>
    <col min="5138" max="5138" width="51" customWidth="1"/>
    <col min="5377" max="5377" width="47.33203125" customWidth="1"/>
    <col min="5378" max="5378" width="10.88671875" customWidth="1"/>
    <col min="5379" max="5384" width="10.6640625" customWidth="1"/>
    <col min="5385" max="5391" width="0" hidden="1" customWidth="1"/>
    <col min="5394" max="5394" width="51" customWidth="1"/>
    <col min="5633" max="5633" width="47.33203125" customWidth="1"/>
    <col min="5634" max="5634" width="10.88671875" customWidth="1"/>
    <col min="5635" max="5640" width="10.6640625" customWidth="1"/>
    <col min="5641" max="5647" width="0" hidden="1" customWidth="1"/>
    <col min="5650" max="5650" width="51" customWidth="1"/>
    <col min="5889" max="5889" width="47.33203125" customWidth="1"/>
    <col min="5890" max="5890" width="10.88671875" customWidth="1"/>
    <col min="5891" max="5896" width="10.6640625" customWidth="1"/>
    <col min="5897" max="5903" width="0" hidden="1" customWidth="1"/>
    <col min="5906" max="5906" width="51" customWidth="1"/>
    <col min="6145" max="6145" width="47.33203125" customWidth="1"/>
    <col min="6146" max="6146" width="10.88671875" customWidth="1"/>
    <col min="6147" max="6152" width="10.6640625" customWidth="1"/>
    <col min="6153" max="6159" width="0" hidden="1" customWidth="1"/>
    <col min="6162" max="6162" width="51" customWidth="1"/>
    <col min="6401" max="6401" width="47.33203125" customWidth="1"/>
    <col min="6402" max="6402" width="10.88671875" customWidth="1"/>
    <col min="6403" max="6408" width="10.6640625" customWidth="1"/>
    <col min="6409" max="6415" width="0" hidden="1" customWidth="1"/>
    <col min="6418" max="6418" width="51" customWidth="1"/>
    <col min="6657" max="6657" width="47.33203125" customWidth="1"/>
    <col min="6658" max="6658" width="10.88671875" customWidth="1"/>
    <col min="6659" max="6664" width="10.6640625" customWidth="1"/>
    <col min="6665" max="6671" width="0" hidden="1" customWidth="1"/>
    <col min="6674" max="6674" width="51" customWidth="1"/>
    <col min="6913" max="6913" width="47.33203125" customWidth="1"/>
    <col min="6914" max="6914" width="10.88671875" customWidth="1"/>
    <col min="6915" max="6920" width="10.6640625" customWidth="1"/>
    <col min="6921" max="6927" width="0" hidden="1" customWidth="1"/>
    <col min="6930" max="6930" width="51" customWidth="1"/>
    <col min="7169" max="7169" width="47.33203125" customWidth="1"/>
    <col min="7170" max="7170" width="10.88671875" customWidth="1"/>
    <col min="7171" max="7176" width="10.6640625" customWidth="1"/>
    <col min="7177" max="7183" width="0" hidden="1" customWidth="1"/>
    <col min="7186" max="7186" width="51" customWidth="1"/>
    <col min="7425" max="7425" width="47.33203125" customWidth="1"/>
    <col min="7426" max="7426" width="10.88671875" customWidth="1"/>
    <col min="7427" max="7432" width="10.6640625" customWidth="1"/>
    <col min="7433" max="7439" width="0" hidden="1" customWidth="1"/>
    <col min="7442" max="7442" width="51" customWidth="1"/>
    <col min="7681" max="7681" width="47.33203125" customWidth="1"/>
    <col min="7682" max="7682" width="10.88671875" customWidth="1"/>
    <col min="7683" max="7688" width="10.6640625" customWidth="1"/>
    <col min="7689" max="7695" width="0" hidden="1" customWidth="1"/>
    <col min="7698" max="7698" width="51" customWidth="1"/>
    <col min="7937" max="7937" width="47.33203125" customWidth="1"/>
    <col min="7938" max="7938" width="10.88671875" customWidth="1"/>
    <col min="7939" max="7944" width="10.6640625" customWidth="1"/>
    <col min="7945" max="7951" width="0" hidden="1" customWidth="1"/>
    <col min="7954" max="7954" width="51" customWidth="1"/>
    <col min="8193" max="8193" width="47.33203125" customWidth="1"/>
    <col min="8194" max="8194" width="10.88671875" customWidth="1"/>
    <col min="8195" max="8200" width="10.6640625" customWidth="1"/>
    <col min="8201" max="8207" width="0" hidden="1" customWidth="1"/>
    <col min="8210" max="8210" width="51" customWidth="1"/>
    <col min="8449" max="8449" width="47.33203125" customWidth="1"/>
    <col min="8450" max="8450" width="10.88671875" customWidth="1"/>
    <col min="8451" max="8456" width="10.6640625" customWidth="1"/>
    <col min="8457" max="8463" width="0" hidden="1" customWidth="1"/>
    <col min="8466" max="8466" width="51" customWidth="1"/>
    <col min="8705" max="8705" width="47.33203125" customWidth="1"/>
    <col min="8706" max="8706" width="10.88671875" customWidth="1"/>
    <col min="8707" max="8712" width="10.6640625" customWidth="1"/>
    <col min="8713" max="8719" width="0" hidden="1" customWidth="1"/>
    <col min="8722" max="8722" width="51" customWidth="1"/>
    <col min="8961" max="8961" width="47.33203125" customWidth="1"/>
    <col min="8962" max="8962" width="10.88671875" customWidth="1"/>
    <col min="8963" max="8968" width="10.6640625" customWidth="1"/>
    <col min="8969" max="8975" width="0" hidden="1" customWidth="1"/>
    <col min="8978" max="8978" width="51" customWidth="1"/>
    <col min="9217" max="9217" width="47.33203125" customWidth="1"/>
    <col min="9218" max="9218" width="10.88671875" customWidth="1"/>
    <col min="9219" max="9224" width="10.6640625" customWidth="1"/>
    <col min="9225" max="9231" width="0" hidden="1" customWidth="1"/>
    <col min="9234" max="9234" width="51" customWidth="1"/>
    <col min="9473" max="9473" width="47.33203125" customWidth="1"/>
    <col min="9474" max="9474" width="10.88671875" customWidth="1"/>
    <col min="9475" max="9480" width="10.6640625" customWidth="1"/>
    <col min="9481" max="9487" width="0" hidden="1" customWidth="1"/>
    <col min="9490" max="9490" width="51" customWidth="1"/>
    <col min="9729" max="9729" width="47.33203125" customWidth="1"/>
    <col min="9730" max="9730" width="10.88671875" customWidth="1"/>
    <col min="9731" max="9736" width="10.6640625" customWidth="1"/>
    <col min="9737" max="9743" width="0" hidden="1" customWidth="1"/>
    <col min="9746" max="9746" width="51" customWidth="1"/>
    <col min="9985" max="9985" width="47.33203125" customWidth="1"/>
    <col min="9986" max="9986" width="10.88671875" customWidth="1"/>
    <col min="9987" max="9992" width="10.6640625" customWidth="1"/>
    <col min="9993" max="9999" width="0" hidden="1" customWidth="1"/>
    <col min="10002" max="10002" width="51" customWidth="1"/>
    <col min="10241" max="10241" width="47.33203125" customWidth="1"/>
    <col min="10242" max="10242" width="10.88671875" customWidth="1"/>
    <col min="10243" max="10248" width="10.6640625" customWidth="1"/>
    <col min="10249" max="10255" width="0" hidden="1" customWidth="1"/>
    <col min="10258" max="10258" width="51" customWidth="1"/>
    <col min="10497" max="10497" width="47.33203125" customWidth="1"/>
    <col min="10498" max="10498" width="10.88671875" customWidth="1"/>
    <col min="10499" max="10504" width="10.6640625" customWidth="1"/>
    <col min="10505" max="10511" width="0" hidden="1" customWidth="1"/>
    <col min="10514" max="10514" width="51" customWidth="1"/>
    <col min="10753" max="10753" width="47.33203125" customWidth="1"/>
    <col min="10754" max="10754" width="10.88671875" customWidth="1"/>
    <col min="10755" max="10760" width="10.6640625" customWidth="1"/>
    <col min="10761" max="10767" width="0" hidden="1" customWidth="1"/>
    <col min="10770" max="10770" width="51" customWidth="1"/>
    <col min="11009" max="11009" width="47.33203125" customWidth="1"/>
    <col min="11010" max="11010" width="10.88671875" customWidth="1"/>
    <col min="11011" max="11016" width="10.6640625" customWidth="1"/>
    <col min="11017" max="11023" width="0" hidden="1" customWidth="1"/>
    <col min="11026" max="11026" width="51" customWidth="1"/>
    <col min="11265" max="11265" width="47.33203125" customWidth="1"/>
    <col min="11266" max="11266" width="10.88671875" customWidth="1"/>
    <col min="11267" max="11272" width="10.6640625" customWidth="1"/>
    <col min="11273" max="11279" width="0" hidden="1" customWidth="1"/>
    <col min="11282" max="11282" width="51" customWidth="1"/>
    <col min="11521" max="11521" width="47.33203125" customWidth="1"/>
    <col min="11522" max="11522" width="10.88671875" customWidth="1"/>
    <col min="11523" max="11528" width="10.6640625" customWidth="1"/>
    <col min="11529" max="11535" width="0" hidden="1" customWidth="1"/>
    <col min="11538" max="11538" width="51" customWidth="1"/>
    <col min="11777" max="11777" width="47.33203125" customWidth="1"/>
    <col min="11778" max="11778" width="10.88671875" customWidth="1"/>
    <col min="11779" max="11784" width="10.6640625" customWidth="1"/>
    <col min="11785" max="11791" width="0" hidden="1" customWidth="1"/>
    <col min="11794" max="11794" width="51" customWidth="1"/>
    <col min="12033" max="12033" width="47.33203125" customWidth="1"/>
    <col min="12034" max="12034" width="10.88671875" customWidth="1"/>
    <col min="12035" max="12040" width="10.6640625" customWidth="1"/>
    <col min="12041" max="12047" width="0" hidden="1" customWidth="1"/>
    <col min="12050" max="12050" width="51" customWidth="1"/>
    <col min="12289" max="12289" width="47.33203125" customWidth="1"/>
    <col min="12290" max="12290" width="10.88671875" customWidth="1"/>
    <col min="12291" max="12296" width="10.6640625" customWidth="1"/>
    <col min="12297" max="12303" width="0" hidden="1" customWidth="1"/>
    <col min="12306" max="12306" width="51" customWidth="1"/>
    <col min="12545" max="12545" width="47.33203125" customWidth="1"/>
    <col min="12546" max="12546" width="10.88671875" customWidth="1"/>
    <col min="12547" max="12552" width="10.6640625" customWidth="1"/>
    <col min="12553" max="12559" width="0" hidden="1" customWidth="1"/>
    <col min="12562" max="12562" width="51" customWidth="1"/>
    <col min="12801" max="12801" width="47.33203125" customWidth="1"/>
    <col min="12802" max="12802" width="10.88671875" customWidth="1"/>
    <col min="12803" max="12808" width="10.6640625" customWidth="1"/>
    <col min="12809" max="12815" width="0" hidden="1" customWidth="1"/>
    <col min="12818" max="12818" width="51" customWidth="1"/>
    <col min="13057" max="13057" width="47.33203125" customWidth="1"/>
    <col min="13058" max="13058" width="10.88671875" customWidth="1"/>
    <col min="13059" max="13064" width="10.6640625" customWidth="1"/>
    <col min="13065" max="13071" width="0" hidden="1" customWidth="1"/>
    <col min="13074" max="13074" width="51" customWidth="1"/>
    <col min="13313" max="13313" width="47.33203125" customWidth="1"/>
    <col min="13314" max="13314" width="10.88671875" customWidth="1"/>
    <col min="13315" max="13320" width="10.6640625" customWidth="1"/>
    <col min="13321" max="13327" width="0" hidden="1" customWidth="1"/>
    <col min="13330" max="13330" width="51" customWidth="1"/>
    <col min="13569" max="13569" width="47.33203125" customWidth="1"/>
    <col min="13570" max="13570" width="10.88671875" customWidth="1"/>
    <col min="13571" max="13576" width="10.6640625" customWidth="1"/>
    <col min="13577" max="13583" width="0" hidden="1" customWidth="1"/>
    <col min="13586" max="13586" width="51" customWidth="1"/>
    <col min="13825" max="13825" width="47.33203125" customWidth="1"/>
    <col min="13826" max="13826" width="10.88671875" customWidth="1"/>
    <col min="13827" max="13832" width="10.6640625" customWidth="1"/>
    <col min="13833" max="13839" width="0" hidden="1" customWidth="1"/>
    <col min="13842" max="13842" width="51" customWidth="1"/>
    <col min="14081" max="14081" width="47.33203125" customWidth="1"/>
    <col min="14082" max="14082" width="10.88671875" customWidth="1"/>
    <col min="14083" max="14088" width="10.6640625" customWidth="1"/>
    <col min="14089" max="14095" width="0" hidden="1" customWidth="1"/>
    <col min="14098" max="14098" width="51" customWidth="1"/>
    <col min="14337" max="14337" width="47.33203125" customWidth="1"/>
    <col min="14338" max="14338" width="10.88671875" customWidth="1"/>
    <col min="14339" max="14344" width="10.6640625" customWidth="1"/>
    <col min="14345" max="14351" width="0" hidden="1" customWidth="1"/>
    <col min="14354" max="14354" width="51" customWidth="1"/>
    <col min="14593" max="14593" width="47.33203125" customWidth="1"/>
    <col min="14594" max="14594" width="10.88671875" customWidth="1"/>
    <col min="14595" max="14600" width="10.6640625" customWidth="1"/>
    <col min="14601" max="14607" width="0" hidden="1" customWidth="1"/>
    <col min="14610" max="14610" width="51" customWidth="1"/>
    <col min="14849" max="14849" width="47.33203125" customWidth="1"/>
    <col min="14850" max="14850" width="10.88671875" customWidth="1"/>
    <col min="14851" max="14856" width="10.6640625" customWidth="1"/>
    <col min="14857" max="14863" width="0" hidden="1" customWidth="1"/>
    <col min="14866" max="14866" width="51" customWidth="1"/>
    <col min="15105" max="15105" width="47.33203125" customWidth="1"/>
    <col min="15106" max="15106" width="10.88671875" customWidth="1"/>
    <col min="15107" max="15112" width="10.6640625" customWidth="1"/>
    <col min="15113" max="15119" width="0" hidden="1" customWidth="1"/>
    <col min="15122" max="15122" width="51" customWidth="1"/>
    <col min="15361" max="15361" width="47.33203125" customWidth="1"/>
    <col min="15362" max="15362" width="10.88671875" customWidth="1"/>
    <col min="15363" max="15368" width="10.6640625" customWidth="1"/>
    <col min="15369" max="15375" width="0" hidden="1" customWidth="1"/>
    <col min="15378" max="15378" width="51" customWidth="1"/>
    <col min="15617" max="15617" width="47.33203125" customWidth="1"/>
    <col min="15618" max="15618" width="10.88671875" customWidth="1"/>
    <col min="15619" max="15624" width="10.6640625" customWidth="1"/>
    <col min="15625" max="15631" width="0" hidden="1" customWidth="1"/>
    <col min="15634" max="15634" width="51" customWidth="1"/>
    <col min="15873" max="15873" width="47.33203125" customWidth="1"/>
    <col min="15874" max="15874" width="10.88671875" customWidth="1"/>
    <col min="15875" max="15880" width="10.6640625" customWidth="1"/>
    <col min="15881" max="15887" width="0" hidden="1" customWidth="1"/>
    <col min="15890" max="15890" width="51" customWidth="1"/>
    <col min="16129" max="16129" width="47.33203125" customWidth="1"/>
    <col min="16130" max="16130" width="10.88671875" customWidth="1"/>
    <col min="16131" max="16136" width="10.6640625" customWidth="1"/>
    <col min="16137" max="16143" width="0" hidden="1" customWidth="1"/>
    <col min="16146" max="16146" width="51" customWidth="1"/>
  </cols>
  <sheetData>
    <row r="1" spans="1:15" ht="54.75" customHeight="1" thickBot="1">
      <c r="A1" s="41" t="s">
        <v>25</v>
      </c>
      <c r="B1" s="42" t="s">
        <v>1</v>
      </c>
      <c r="C1" s="42" t="s">
        <v>2</v>
      </c>
      <c r="D1" s="42" t="s">
        <v>3</v>
      </c>
      <c r="E1" s="42" t="s">
        <v>4</v>
      </c>
      <c r="F1" s="42" t="s">
        <v>5</v>
      </c>
      <c r="G1" s="43" t="s">
        <v>6</v>
      </c>
      <c r="H1" s="43" t="s">
        <v>7</v>
      </c>
      <c r="I1" s="44" t="s">
        <v>26</v>
      </c>
      <c r="J1" s="45" t="s">
        <v>27</v>
      </c>
      <c r="K1" s="46" t="s">
        <v>28</v>
      </c>
    </row>
    <row r="2" spans="1:15" ht="15" customHeight="1">
      <c r="A2" s="47" t="s">
        <v>8</v>
      </c>
      <c r="B2" s="48">
        <f t="shared" ref="B2:G2" si="0">B3+B7+B8+B12</f>
        <v>18760611.739999998</v>
      </c>
      <c r="C2" s="48">
        <f t="shared" si="0"/>
        <v>20537951.710000001</v>
      </c>
      <c r="D2" s="48">
        <f t="shared" si="0"/>
        <v>22046787</v>
      </c>
      <c r="E2" s="48">
        <f t="shared" si="0"/>
        <v>22316749</v>
      </c>
      <c r="F2" s="48">
        <f t="shared" si="0"/>
        <v>22971749</v>
      </c>
      <c r="G2" s="49">
        <f t="shared" si="0"/>
        <v>23471749</v>
      </c>
      <c r="H2" s="49">
        <f>H3+H7+H8+H12</f>
        <v>23971749</v>
      </c>
      <c r="I2" s="50" t="s">
        <v>29</v>
      </c>
      <c r="J2" s="50"/>
    </row>
    <row r="3" spans="1:15">
      <c r="A3" s="51" t="s">
        <v>30</v>
      </c>
      <c r="B3" s="52">
        <f t="shared" ref="B3:G3" si="1">SUM(B4:B6)</f>
        <v>9371419.7000000011</v>
      </c>
      <c r="C3" s="52">
        <f t="shared" si="1"/>
        <v>10204383</v>
      </c>
      <c r="D3" s="52">
        <f t="shared" si="1"/>
        <v>11398000</v>
      </c>
      <c r="E3" s="52">
        <f t="shared" si="1"/>
        <v>12128000</v>
      </c>
      <c r="F3" s="52">
        <f t="shared" si="1"/>
        <v>12753000</v>
      </c>
      <c r="G3" s="30">
        <f t="shared" si="1"/>
        <v>13253000</v>
      </c>
      <c r="H3" s="30">
        <f>SUM(H4:H6)</f>
        <v>13753000</v>
      </c>
    </row>
    <row r="4" spans="1:15">
      <c r="A4" s="51" t="s">
        <v>31</v>
      </c>
      <c r="B4" s="53">
        <f>[1]Eelarvearuanne!H8</f>
        <v>9083905.9700000007</v>
      </c>
      <c r="C4" s="53">
        <f>[1]Eelarvearuanne!D8</f>
        <v>9916254</v>
      </c>
      <c r="D4" s="54">
        <v>11102000</v>
      </c>
      <c r="E4" s="54">
        <f>D4+700000</f>
        <v>11802000</v>
      </c>
      <c r="F4" s="54">
        <f>E4+600000</f>
        <v>12402000</v>
      </c>
      <c r="G4" s="55">
        <f>F4+500000</f>
        <v>12902000</v>
      </c>
      <c r="H4" s="55">
        <f>G4+500000</f>
        <v>13402000</v>
      </c>
      <c r="I4" s="56">
        <f t="shared" ref="I4:N4" si="2">C4/B4-1</f>
        <v>9.1628868985309309E-2</v>
      </c>
      <c r="J4" s="56">
        <f t="shared" si="2"/>
        <v>0.11957600117947775</v>
      </c>
      <c r="K4" s="56">
        <f t="shared" si="2"/>
        <v>6.3051702395964693E-2</v>
      </c>
      <c r="L4" s="56">
        <f t="shared" si="2"/>
        <v>5.0838840874428026E-2</v>
      </c>
      <c r="M4" s="56">
        <f t="shared" si="2"/>
        <v>4.0316078051927162E-2</v>
      </c>
      <c r="N4" s="56">
        <f t="shared" si="2"/>
        <v>3.875368159975201E-2</v>
      </c>
    </row>
    <row r="5" spans="1:15">
      <c r="A5" s="51" t="s">
        <v>32</v>
      </c>
      <c r="B5" s="53">
        <f>[1]Eelarvearuanne!H9</f>
        <v>287145.23</v>
      </c>
      <c r="C5" s="53">
        <f>[1]Eelarvearuanne!D9</f>
        <v>287074</v>
      </c>
      <c r="D5" s="54">
        <v>295000</v>
      </c>
      <c r="E5" s="54">
        <v>325000</v>
      </c>
      <c r="F5" s="54">
        <v>350000</v>
      </c>
      <c r="G5" s="55">
        <v>350000</v>
      </c>
      <c r="H5" s="55">
        <v>350000</v>
      </c>
    </row>
    <row r="6" spans="1:15">
      <c r="A6" s="51" t="s">
        <v>33</v>
      </c>
      <c r="B6" s="53">
        <f>[1]Eelarvearuanne!H7-[1]Eelarvearuanne!H8-[1]Eelarvearuanne!H9</f>
        <v>368.50000000046566</v>
      </c>
      <c r="C6" s="53">
        <f>[1]Eelarvearuanne!D7-[1]Eelarvearuanne!D8-[1]Eelarvearuanne!D9</f>
        <v>1055</v>
      </c>
      <c r="D6" s="54">
        <v>1000</v>
      </c>
      <c r="E6" s="54">
        <v>1000</v>
      </c>
      <c r="F6" s="54">
        <v>1000</v>
      </c>
      <c r="G6" s="55">
        <v>1000</v>
      </c>
      <c r="H6" s="55">
        <v>1000</v>
      </c>
    </row>
    <row r="7" spans="1:15">
      <c r="A7" s="51" t="s">
        <v>34</v>
      </c>
      <c r="B7" s="57">
        <f>[1]Eelarvearuanne!H14</f>
        <v>1051535.44</v>
      </c>
      <c r="C7" s="57">
        <f>[1]Eelarvearuanne!D14</f>
        <v>1360749</v>
      </c>
      <c r="D7" s="54">
        <v>1414368</v>
      </c>
      <c r="E7" s="54">
        <f>1250000+120000</f>
        <v>1370000</v>
      </c>
      <c r="F7" s="54">
        <v>1400000</v>
      </c>
      <c r="G7" s="54">
        <v>1400000</v>
      </c>
      <c r="H7" s="54">
        <v>1400000</v>
      </c>
    </row>
    <row r="8" spans="1:15">
      <c r="A8" s="51" t="s">
        <v>35</v>
      </c>
      <c r="B8" s="29">
        <f t="shared" ref="B8:H8" si="3">SUM(B9:B11)</f>
        <v>8168691.9500000002</v>
      </c>
      <c r="C8" s="52">
        <f t="shared" si="3"/>
        <v>8863159</v>
      </c>
      <c r="D8" s="52">
        <f t="shared" si="3"/>
        <v>9139419</v>
      </c>
      <c r="E8" s="52">
        <f t="shared" si="3"/>
        <v>8718749</v>
      </c>
      <c r="F8" s="52">
        <f t="shared" si="3"/>
        <v>8718749</v>
      </c>
      <c r="G8" s="52">
        <f t="shared" si="3"/>
        <v>8718749</v>
      </c>
      <c r="H8" s="52">
        <f t="shared" si="3"/>
        <v>8718749</v>
      </c>
    </row>
    <row r="9" spans="1:15">
      <c r="A9" s="51" t="s">
        <v>36</v>
      </c>
      <c r="B9" s="57">
        <f>[1]Eelarvearuanne!H16</f>
        <v>1933180</v>
      </c>
      <c r="C9" s="57">
        <f>[1]Eelarvearuanne!D16</f>
        <v>2110280</v>
      </c>
      <c r="D9" s="58">
        <v>3100830</v>
      </c>
      <c r="E9" s="54">
        <v>3100000</v>
      </c>
      <c r="F9" s="54">
        <v>3100000</v>
      </c>
      <c r="G9" s="54">
        <v>3100000</v>
      </c>
      <c r="H9" s="54">
        <v>3100000</v>
      </c>
      <c r="I9" s="59" t="s">
        <v>37</v>
      </c>
      <c r="J9" s="59"/>
      <c r="K9" s="59"/>
      <c r="L9" s="59"/>
      <c r="M9" s="59"/>
      <c r="N9" s="59"/>
      <c r="O9" s="60" t="s">
        <v>38</v>
      </c>
    </row>
    <row r="10" spans="1:15">
      <c r="A10" s="51" t="s">
        <v>39</v>
      </c>
      <c r="B10" s="57">
        <f>[1]Eelarvearuanne!H17</f>
        <v>5119338</v>
      </c>
      <c r="C10" s="57">
        <f>[1]Eelarvearuanne!D17</f>
        <v>6344326</v>
      </c>
      <c r="D10" s="58">
        <v>5218749</v>
      </c>
      <c r="E10" s="54">
        <f>D10</f>
        <v>5218749</v>
      </c>
      <c r="F10" s="54">
        <f>E10</f>
        <v>5218749</v>
      </c>
      <c r="G10" s="54">
        <f>F10</f>
        <v>5218749</v>
      </c>
      <c r="H10" s="54">
        <f>G10</f>
        <v>5218749</v>
      </c>
      <c r="I10" s="61" t="s">
        <v>40</v>
      </c>
      <c r="J10" s="59"/>
      <c r="K10" s="59"/>
      <c r="O10" s="60" t="s">
        <v>41</v>
      </c>
    </row>
    <row r="11" spans="1:15">
      <c r="A11" s="51" t="s">
        <v>42</v>
      </c>
      <c r="B11" s="57">
        <f>[1]Eelarvearuanne!H18</f>
        <v>1116173.95</v>
      </c>
      <c r="C11" s="57">
        <f>[1]Eelarvearuanne!D18</f>
        <v>408553</v>
      </c>
      <c r="D11" s="54">
        <v>819840</v>
      </c>
      <c r="E11" s="54">
        <v>400000</v>
      </c>
      <c r="F11" s="54">
        <v>400000</v>
      </c>
      <c r="G11" s="54">
        <v>400000</v>
      </c>
      <c r="H11" s="54">
        <v>400000</v>
      </c>
      <c r="I11" s="8" t="s">
        <v>43</v>
      </c>
    </row>
    <row r="12" spans="1:15">
      <c r="A12" s="51" t="s">
        <v>44</v>
      </c>
      <c r="B12" s="57">
        <f>[1]Eelarvearuanne!H19</f>
        <v>168964.65</v>
      </c>
      <c r="C12" s="57">
        <f>[1]Eelarvearuanne!D19</f>
        <v>109660.70999999999</v>
      </c>
      <c r="D12" s="54">
        <v>95000</v>
      </c>
      <c r="E12" s="54">
        <v>100000</v>
      </c>
      <c r="F12" s="54">
        <v>100000</v>
      </c>
      <c r="G12" s="54">
        <v>100000</v>
      </c>
      <c r="H12" s="54">
        <v>100000</v>
      </c>
      <c r="I12" t="s">
        <v>45</v>
      </c>
    </row>
    <row r="13" spans="1:15">
      <c r="A13" s="62" t="s">
        <v>9</v>
      </c>
      <c r="B13" s="63">
        <f t="shared" ref="B13:G13" si="4">SUM(B14:B15)</f>
        <v>17285430.82</v>
      </c>
      <c r="C13" s="63">
        <f>C14+C15</f>
        <v>19865242</v>
      </c>
      <c r="D13" s="9">
        <f t="shared" si="4"/>
        <v>20661278</v>
      </c>
      <c r="E13" s="9">
        <f t="shared" si="4"/>
        <v>20542340.399999999</v>
      </c>
      <c r="F13" s="9">
        <f t="shared" si="4"/>
        <v>20926187.208000001</v>
      </c>
      <c r="G13" s="10">
        <f t="shared" si="4"/>
        <v>21317710.952160001</v>
      </c>
      <c r="H13" s="10">
        <f>SUM(H14:H15)</f>
        <v>21717065.1712032</v>
      </c>
    </row>
    <row r="14" spans="1:15">
      <c r="A14" s="51" t="s">
        <v>46</v>
      </c>
      <c r="B14" s="57">
        <f>-[1]Eelarvearuanne!H25</f>
        <v>907407.54</v>
      </c>
      <c r="C14" s="57">
        <f>-[1]Eelarvearuanne!D25</f>
        <v>1381651</v>
      </c>
      <c r="D14" s="54">
        <v>1764858</v>
      </c>
      <c r="E14" s="54">
        <v>1300000</v>
      </c>
      <c r="F14" s="54">
        <v>1300000</v>
      </c>
      <c r="G14" s="54">
        <v>1300000</v>
      </c>
      <c r="H14" s="54">
        <v>1300000</v>
      </c>
    </row>
    <row r="15" spans="1:15">
      <c r="A15" s="51" t="s">
        <v>47</v>
      </c>
      <c r="B15" s="29">
        <f t="shared" ref="B15:G15" si="5">B16+B17+B19</f>
        <v>16378023.279999999</v>
      </c>
      <c r="C15" s="29">
        <f t="shared" si="5"/>
        <v>18483591</v>
      </c>
      <c r="D15" s="64">
        <f t="shared" si="5"/>
        <v>18896420</v>
      </c>
      <c r="E15" s="64">
        <f t="shared" si="5"/>
        <v>19242340.399999999</v>
      </c>
      <c r="F15" s="64">
        <f t="shared" si="5"/>
        <v>19626187.208000001</v>
      </c>
      <c r="G15" s="65">
        <f t="shared" si="5"/>
        <v>20017710.952160001</v>
      </c>
      <c r="H15" s="65">
        <f>H16+H17+H19</f>
        <v>20417065.1712032</v>
      </c>
    </row>
    <row r="16" spans="1:15">
      <c r="A16" s="51" t="s">
        <v>48</v>
      </c>
      <c r="B16" s="57">
        <f>-[1]Eelarvearuanne!H31</f>
        <v>10381410.18</v>
      </c>
      <c r="C16" s="57">
        <f>-[1]Eelarvearuanne!D31</f>
        <v>12232473</v>
      </c>
      <c r="D16" s="54">
        <v>12953992</v>
      </c>
      <c r="E16" s="54">
        <f t="shared" ref="E16:H17" si="6">D16*1.02</f>
        <v>13213071.84</v>
      </c>
      <c r="F16" s="54">
        <f t="shared" si="6"/>
        <v>13477333.276799999</v>
      </c>
      <c r="G16" s="54">
        <f t="shared" si="6"/>
        <v>13746879.942335999</v>
      </c>
      <c r="H16" s="54">
        <f t="shared" si="6"/>
        <v>14021817.541182719</v>
      </c>
      <c r="I16" s="56">
        <f>C16/B16-1</f>
        <v>0.17830552766001984</v>
      </c>
      <c r="J16" s="56">
        <f t="shared" ref="J16:N17" si="7">D16/C16-1</f>
        <v>5.8983902927887133E-2</v>
      </c>
      <c r="K16" s="56">
        <f t="shared" si="7"/>
        <v>2.0000000000000018E-2</v>
      </c>
      <c r="L16" s="56">
        <f t="shared" si="7"/>
        <v>2.0000000000000018E-2</v>
      </c>
      <c r="M16" s="56">
        <f t="shared" si="7"/>
        <v>2.0000000000000018E-2</v>
      </c>
      <c r="N16" s="56">
        <f t="shared" si="7"/>
        <v>2.0000000000000018E-2</v>
      </c>
    </row>
    <row r="17" spans="1:15">
      <c r="A17" s="51" t="s">
        <v>49</v>
      </c>
      <c r="B17" s="57">
        <f>-[1]Eelarvearuanne!H32</f>
        <v>5995903.5899999999</v>
      </c>
      <c r="C17" s="57">
        <f>-[1]Eelarvearuanne!D32</f>
        <v>6241155</v>
      </c>
      <c r="D17" s="54">
        <v>5862028</v>
      </c>
      <c r="E17" s="54">
        <f t="shared" si="6"/>
        <v>5979268.5600000005</v>
      </c>
      <c r="F17" s="54">
        <f t="shared" si="6"/>
        <v>6098853.9312000005</v>
      </c>
      <c r="G17" s="54">
        <f t="shared" si="6"/>
        <v>6220831.0098240003</v>
      </c>
      <c r="H17" s="54">
        <f t="shared" si="6"/>
        <v>6345247.6300204806</v>
      </c>
      <c r="I17" s="56">
        <f>C17/B17-1</f>
        <v>4.0903161019638867E-2</v>
      </c>
      <c r="J17" s="56">
        <f t="shared" si="7"/>
        <v>-6.0746288146985572E-2</v>
      </c>
      <c r="K17" s="56">
        <f t="shared" si="7"/>
        <v>2.0000000000000018E-2</v>
      </c>
      <c r="L17" s="56">
        <f t="shared" si="7"/>
        <v>2.0000000000000018E-2</v>
      </c>
      <c r="M17" s="56">
        <f t="shared" si="7"/>
        <v>2.0000000000000018E-2</v>
      </c>
      <c r="N17" s="56">
        <f t="shared" si="7"/>
        <v>2.0000000000000018E-2</v>
      </c>
    </row>
    <row r="18" spans="1:15" hidden="1">
      <c r="A18" s="66" t="s">
        <v>50</v>
      </c>
      <c r="B18" s="67"/>
      <c r="C18" s="67"/>
      <c r="D18" s="68"/>
      <c r="E18" s="68"/>
      <c r="F18" s="68"/>
      <c r="G18" s="69"/>
      <c r="H18" s="69"/>
      <c r="I18" s="70" t="s">
        <v>51</v>
      </c>
      <c r="J18" s="70"/>
    </row>
    <row r="19" spans="1:15">
      <c r="A19" s="51" t="s">
        <v>52</v>
      </c>
      <c r="B19" s="57">
        <f>-[1]Eelarvearuanne!H33</f>
        <v>709.51</v>
      </c>
      <c r="C19" s="57">
        <f>-[1]Eelarvearuanne!D33</f>
        <v>9963</v>
      </c>
      <c r="D19" s="54">
        <v>80400</v>
      </c>
      <c r="E19" s="54">
        <v>50000</v>
      </c>
      <c r="F19" s="54">
        <v>50000</v>
      </c>
      <c r="G19" s="54">
        <v>50000</v>
      </c>
      <c r="H19" s="54">
        <v>50000</v>
      </c>
      <c r="I19" s="71" t="s">
        <v>53</v>
      </c>
    </row>
    <row r="20" spans="1:15">
      <c r="A20" s="72" t="s">
        <v>54</v>
      </c>
      <c r="B20" s="73">
        <f t="shared" ref="B20:G20" si="8">B2-B13</f>
        <v>1475180.9199999981</v>
      </c>
      <c r="C20" s="74">
        <f t="shared" si="8"/>
        <v>672709.71000000089</v>
      </c>
      <c r="D20" s="74">
        <f t="shared" si="8"/>
        <v>1385509</v>
      </c>
      <c r="E20" s="74">
        <f t="shared" si="8"/>
        <v>1774408.6000000015</v>
      </c>
      <c r="F20" s="74">
        <f t="shared" si="8"/>
        <v>2045561.7919999994</v>
      </c>
      <c r="G20" s="75">
        <f t="shared" si="8"/>
        <v>2154038.0478399992</v>
      </c>
      <c r="H20" s="75">
        <f>H2-H13</f>
        <v>2254683.8287968002</v>
      </c>
      <c r="I20" s="71" t="s">
        <v>55</v>
      </c>
      <c r="J20" s="71"/>
    </row>
    <row r="21" spans="1:15">
      <c r="A21" s="14" t="s">
        <v>12</v>
      </c>
      <c r="B21" s="76">
        <f t="shared" ref="B21:G21" si="9">B22+B23+B25+B26+B27+B28+B29+B30+B31+B32</f>
        <v>-1153724.9500000002</v>
      </c>
      <c r="C21" s="76">
        <f>C22+C23+C25+C26+C27+C28+C29+C30+C31+C32</f>
        <v>-1417998.24</v>
      </c>
      <c r="D21" s="76">
        <f>D22+D23+D25+D26+D27+D28+D29+D30+D31+D32</f>
        <v>-1100425.6000000001</v>
      </c>
      <c r="E21" s="76">
        <f t="shared" si="9"/>
        <v>-2281578.3328</v>
      </c>
      <c r="F21" s="76">
        <f t="shared" si="9"/>
        <v>-2308142.6528000003</v>
      </c>
      <c r="G21" s="16">
        <f t="shared" si="9"/>
        <v>-931944.57279999997</v>
      </c>
      <c r="H21" s="16">
        <f>H22+H23+H25+H26+H27+H28+H29+H30+H31+H32</f>
        <v>-788684.86959999998</v>
      </c>
    </row>
    <row r="22" spans="1:15" ht="12.75" customHeight="1">
      <c r="A22" s="77" t="s">
        <v>56</v>
      </c>
      <c r="B22" s="57">
        <f>[1]Eelarvearuanne!H36</f>
        <v>17588.43</v>
      </c>
      <c r="C22" s="57">
        <f>[1]Eelarvearuanne!D36</f>
        <v>193000</v>
      </c>
      <c r="D22" s="58">
        <v>200000</v>
      </c>
      <c r="E22" s="58">
        <v>200000</v>
      </c>
      <c r="F22" s="58">
        <v>200000</v>
      </c>
      <c r="G22" s="58">
        <v>200000</v>
      </c>
      <c r="H22" s="58">
        <v>200000</v>
      </c>
      <c r="I22" s="40"/>
      <c r="J22" s="40"/>
    </row>
    <row r="23" spans="1:15" ht="12.75" customHeight="1">
      <c r="A23" s="77" t="s">
        <v>57</v>
      </c>
      <c r="B23" s="57">
        <f>[1]Eelarvearuanne!H37</f>
        <v>-1886638.61</v>
      </c>
      <c r="C23" s="78">
        <f>[1]Eelarvearuanne!D37</f>
        <v>-1768482</v>
      </c>
      <c r="D23" s="58">
        <f>-D88</f>
        <v>-947474.6</v>
      </c>
      <c r="E23" s="58">
        <f>-E88</f>
        <v>-3400000</v>
      </c>
      <c r="F23" s="58">
        <f>-F88</f>
        <v>-3350000</v>
      </c>
      <c r="G23" s="79">
        <f>-G88</f>
        <v>-700000</v>
      </c>
      <c r="H23" s="79">
        <f>-H88</f>
        <v>-700000</v>
      </c>
      <c r="I23" s="8" t="s">
        <v>58</v>
      </c>
    </row>
    <row r="24" spans="1:15">
      <c r="A24" s="80" t="s">
        <v>59</v>
      </c>
      <c r="B24" s="57">
        <f>-(-B23-B25)</f>
        <v>-1002092.7800000001</v>
      </c>
      <c r="C24" s="81">
        <f t="shared" ref="C24:H24" si="10">-C90</f>
        <v>-1365321</v>
      </c>
      <c r="D24" s="58">
        <f t="shared" si="10"/>
        <v>-866535</v>
      </c>
      <c r="E24" s="58">
        <f t="shared" si="10"/>
        <v>-2075000</v>
      </c>
      <c r="F24" s="58">
        <f t="shared" si="10"/>
        <v>-2075000</v>
      </c>
      <c r="G24" s="79">
        <f t="shared" si="10"/>
        <v>-700000</v>
      </c>
      <c r="H24" s="79">
        <f t="shared" si="10"/>
        <v>-700000</v>
      </c>
      <c r="I24" s="8" t="s">
        <v>58</v>
      </c>
    </row>
    <row r="25" spans="1:15" ht="12.75" customHeight="1">
      <c r="A25" s="82" t="s">
        <v>60</v>
      </c>
      <c r="B25" s="57">
        <f>[1]Eelarvearuanne!H38</f>
        <v>884545.83</v>
      </c>
      <c r="C25" s="81">
        <f>[1]Eelarvearuanne!D38</f>
        <v>554975</v>
      </c>
      <c r="D25" s="58">
        <v>85940</v>
      </c>
      <c r="E25" s="58">
        <f>E89</f>
        <v>1325000</v>
      </c>
      <c r="F25" s="58">
        <f>F89</f>
        <v>1275000</v>
      </c>
      <c r="G25" s="79">
        <v>20000</v>
      </c>
      <c r="H25" s="79">
        <v>20000</v>
      </c>
      <c r="I25" s="8" t="s">
        <v>61</v>
      </c>
      <c r="K25" s="8"/>
      <c r="O25" s="8" t="s">
        <v>62</v>
      </c>
    </row>
    <row r="26" spans="1:15" ht="12.75" customHeight="1">
      <c r="A26" s="77" t="s">
        <v>63</v>
      </c>
      <c r="B26" s="57">
        <f>[1]Eelarvearuanne!H39</f>
        <v>-114287.76</v>
      </c>
      <c r="C26" s="57">
        <f>[1]Eelarvearuanne!D39</f>
        <v>-71885.240000000005</v>
      </c>
      <c r="D26" s="58">
        <v>-40000</v>
      </c>
      <c r="E26" s="58">
        <v>-40000</v>
      </c>
      <c r="F26" s="58">
        <v>-40000</v>
      </c>
      <c r="G26" s="79">
        <v>-40000</v>
      </c>
      <c r="H26" s="79">
        <v>-40000</v>
      </c>
      <c r="I26" s="83" t="s">
        <v>64</v>
      </c>
    </row>
    <row r="27" spans="1:15" ht="12.75" customHeight="1">
      <c r="A27" s="84" t="s">
        <v>65</v>
      </c>
      <c r="B27" s="57">
        <f>[1]Eelarvearuanne!H40+[1]Eelarvearuanne!H42</f>
        <v>0</v>
      </c>
      <c r="C27" s="57">
        <f>[1]Eelarvearuanne!D40+[1]Eelarvearuanne!D42</f>
        <v>0</v>
      </c>
      <c r="D27" s="58"/>
      <c r="E27" s="58"/>
      <c r="F27" s="58"/>
      <c r="G27" s="79"/>
      <c r="H27" s="79"/>
      <c r="I27" s="83"/>
      <c r="J27" s="85"/>
    </row>
    <row r="28" spans="1:15" ht="12.75" customHeight="1">
      <c r="A28" s="84" t="s">
        <v>66</v>
      </c>
      <c r="B28" s="57">
        <f>[1]Eelarvearuanne!H41+[1]Eelarvearuanne!H43</f>
        <v>0</v>
      </c>
      <c r="C28" s="57">
        <f>[1]Eelarvearuanne!D41+[1]Eelarvearuanne!D43</f>
        <v>0</v>
      </c>
      <c r="D28" s="58"/>
      <c r="E28" s="58"/>
      <c r="F28" s="58"/>
      <c r="G28" s="79"/>
      <c r="H28" s="79"/>
      <c r="I28" s="85"/>
    </row>
    <row r="29" spans="1:15" ht="12.75" customHeight="1">
      <c r="A29" s="86" t="s">
        <v>67</v>
      </c>
      <c r="B29" s="87">
        <f>[1]Eelarvearuanne!H44</f>
        <v>72900</v>
      </c>
      <c r="C29" s="87">
        <f>[1]Eelarvearuanne!D44</f>
        <v>72900</v>
      </c>
      <c r="D29" s="58">
        <v>0</v>
      </c>
      <c r="E29" s="58">
        <v>0</v>
      </c>
      <c r="F29" s="58">
        <v>0</v>
      </c>
      <c r="G29" s="79">
        <v>0</v>
      </c>
      <c r="H29" s="79">
        <v>0</v>
      </c>
    </row>
    <row r="30" spans="1:15" ht="12.75" customHeight="1">
      <c r="A30" s="84" t="s">
        <v>68</v>
      </c>
      <c r="B30" s="57">
        <f>[1]Eelarvearuanne!H45</f>
        <v>0</v>
      </c>
      <c r="C30" s="57">
        <f>[1]Eelarvearuanne!D45</f>
        <v>0</v>
      </c>
      <c r="D30" s="88"/>
      <c r="E30" s="58"/>
      <c r="F30" s="58"/>
      <c r="G30" s="79"/>
      <c r="H30" s="79"/>
      <c r="I30" t="s">
        <v>69</v>
      </c>
    </row>
    <row r="31" spans="1:15" ht="12.75" customHeight="1">
      <c r="A31" s="89" t="s">
        <v>70</v>
      </c>
      <c r="B31" s="90">
        <f>[1]Eelarvearuanne!H46</f>
        <v>1252.7</v>
      </c>
      <c r="C31" s="90">
        <f>[1]Eelarvearuanne!D46</f>
        <v>9977</v>
      </c>
      <c r="D31" s="58">
        <v>6500</v>
      </c>
      <c r="E31" s="58">
        <v>1500</v>
      </c>
      <c r="F31" s="58">
        <v>1500</v>
      </c>
      <c r="G31" s="58">
        <v>1500</v>
      </c>
      <c r="H31" s="58">
        <v>1500</v>
      </c>
      <c r="I31" s="8" t="s">
        <v>71</v>
      </c>
    </row>
    <row r="32" spans="1:15">
      <c r="A32" s="89" t="s">
        <v>72</v>
      </c>
      <c r="B32" s="57">
        <f>[1]Eelarvearuanne!H47</f>
        <v>-129085.54</v>
      </c>
      <c r="C32" s="57">
        <f>[1]Eelarvearuanne!D47</f>
        <v>-408483</v>
      </c>
      <c r="D32" s="58">
        <v>-405391</v>
      </c>
      <c r="E32" s="58">
        <f>-[1]laenud!F47</f>
        <v>-368078.33280000003</v>
      </c>
      <c r="F32" s="58">
        <f>-[1]laenud!G47</f>
        <v>-394642.65280000004</v>
      </c>
      <c r="G32" s="58">
        <f>-[1]laenud!H47</f>
        <v>-413444.57280000002</v>
      </c>
      <c r="H32" s="58">
        <f>-[1]laenud!I47</f>
        <v>-270184.86959999998</v>
      </c>
    </row>
    <row r="33" spans="1:18">
      <c r="A33" s="17" t="s">
        <v>13</v>
      </c>
      <c r="B33" s="76">
        <f t="shared" ref="B33:G33" si="11">B20+B21</f>
        <v>321455.96999999788</v>
      </c>
      <c r="C33" s="15">
        <f t="shared" si="11"/>
        <v>-745288.5299999991</v>
      </c>
      <c r="D33" s="15">
        <f>D20+D21</f>
        <v>285083.39999999991</v>
      </c>
      <c r="E33" s="15">
        <f t="shared" si="11"/>
        <v>-507169.73279999848</v>
      </c>
      <c r="F33" s="15">
        <f t="shared" si="11"/>
        <v>-262580.86080000084</v>
      </c>
      <c r="G33" s="16">
        <f t="shared" si="11"/>
        <v>1222093.4750399992</v>
      </c>
      <c r="H33" s="16">
        <f>H20+H21</f>
        <v>1465998.9591968004</v>
      </c>
      <c r="I33" s="71"/>
    </row>
    <row r="34" spans="1:18">
      <c r="A34" s="17" t="s">
        <v>14</v>
      </c>
      <c r="B34" s="76">
        <f t="shared" ref="B34:G34" si="12">B35+B36</f>
        <v>454504.15999999992</v>
      </c>
      <c r="C34" s="15">
        <f t="shared" si="12"/>
        <v>-433076</v>
      </c>
      <c r="D34" s="15">
        <f t="shared" si="12"/>
        <v>-622296</v>
      </c>
      <c r="E34" s="15">
        <f t="shared" si="12"/>
        <v>664108</v>
      </c>
      <c r="F34" s="15">
        <f t="shared" si="12"/>
        <v>470048</v>
      </c>
      <c r="G34" s="16">
        <f t="shared" si="12"/>
        <v>-1229952</v>
      </c>
      <c r="H34" s="16">
        <f>H35+H36</f>
        <v>-1179957</v>
      </c>
    </row>
    <row r="35" spans="1:18">
      <c r="A35" s="91" t="s">
        <v>73</v>
      </c>
      <c r="B35" s="57">
        <f>[1]Eelarvearuanne!H50</f>
        <v>1934120</v>
      </c>
      <c r="C35" s="57">
        <f>[1]Eelarvearuanne!D50</f>
        <v>1200000</v>
      </c>
      <c r="D35" s="58">
        <v>800000</v>
      </c>
      <c r="E35" s="58">
        <v>2000000</v>
      </c>
      <c r="F35" s="58">
        <v>2000000</v>
      </c>
      <c r="G35" s="58">
        <v>500000</v>
      </c>
      <c r="H35" s="58">
        <v>500000</v>
      </c>
      <c r="I35" s="92" t="s">
        <v>74</v>
      </c>
      <c r="J35" s="92"/>
      <c r="K35" s="92"/>
    </row>
    <row r="36" spans="1:18">
      <c r="A36" s="91" t="s">
        <v>75</v>
      </c>
      <c r="B36" s="57">
        <f>[1]Eelarvearuanne!H51</f>
        <v>-1479615.84</v>
      </c>
      <c r="C36" s="57">
        <f>[1]Eelarvearuanne!D51</f>
        <v>-1633076</v>
      </c>
      <c r="D36" s="58">
        <v>-1422296</v>
      </c>
      <c r="E36" s="58">
        <f>-[1]laenud!F43</f>
        <v>-1335892</v>
      </c>
      <c r="F36" s="58">
        <f>-[1]laenud!G43</f>
        <v>-1529952</v>
      </c>
      <c r="G36" s="58">
        <f>-[1]laenud!H43</f>
        <v>-1729952</v>
      </c>
      <c r="H36" s="58">
        <f>-[1]laenud!I43</f>
        <v>-1679957</v>
      </c>
      <c r="I36" s="93" t="s">
        <v>76</v>
      </c>
      <c r="J36" s="94"/>
      <c r="K36" s="94"/>
    </row>
    <row r="37" spans="1:18" ht="27">
      <c r="A37" s="18" t="s">
        <v>15</v>
      </c>
      <c r="B37" s="57">
        <f>[1]Eelarvearuanne!H52</f>
        <v>-22624.97</v>
      </c>
      <c r="C37" s="78">
        <f>[1]Eelarvearuanne!D52</f>
        <v>-850227.53</v>
      </c>
      <c r="D37" s="58">
        <f>D33+D34+D38</f>
        <v>-665348.60000000009</v>
      </c>
      <c r="E37" s="58">
        <f>E33+E34+E38</f>
        <v>156938.26720000152</v>
      </c>
      <c r="F37" s="58">
        <f>F33+F34+F38</f>
        <v>207467.13919999916</v>
      </c>
      <c r="G37" s="79">
        <f>G33+G34+G38</f>
        <v>-7858.5249600007664</v>
      </c>
      <c r="H37" s="79">
        <f>H33+H34+H38</f>
        <v>286041.95919680037</v>
      </c>
      <c r="I37" s="71" t="s">
        <v>77</v>
      </c>
    </row>
    <row r="38" spans="1:18">
      <c r="A38" s="18" t="s">
        <v>78</v>
      </c>
      <c r="B38" s="57">
        <f>[1]Eelarvearuanne!H53</f>
        <v>-798585.1</v>
      </c>
      <c r="C38" s="57">
        <f>[1]Eelarvearuanne!D53</f>
        <v>328137</v>
      </c>
      <c r="D38" s="26">
        <f>D39+D40</f>
        <v>-328136</v>
      </c>
      <c r="E38" s="26">
        <f>E39+E40</f>
        <v>0</v>
      </c>
      <c r="F38" s="26">
        <f>F39+F40</f>
        <v>0</v>
      </c>
      <c r="G38" s="27">
        <f>G39+G40</f>
        <v>0</v>
      </c>
      <c r="H38" s="27">
        <f>H39+H40</f>
        <v>0</v>
      </c>
    </row>
    <row r="39" spans="1:18">
      <c r="A39" s="95" t="s">
        <v>79</v>
      </c>
      <c r="B39" s="57"/>
      <c r="C39" s="57"/>
      <c r="D39" s="96"/>
      <c r="E39" s="96"/>
      <c r="F39" s="96"/>
      <c r="G39" s="97"/>
      <c r="H39" s="97"/>
      <c r="I39" t="s">
        <v>80</v>
      </c>
    </row>
    <row r="40" spans="1:18">
      <c r="A40" s="98" t="s">
        <v>81</v>
      </c>
      <c r="B40" s="99"/>
      <c r="C40" s="99">
        <f>[1]Eelarvearuanne!D53</f>
        <v>328137</v>
      </c>
      <c r="D40" s="54">
        <v>-328136</v>
      </c>
      <c r="E40" s="54"/>
      <c r="F40" s="54"/>
      <c r="G40" s="55"/>
      <c r="H40" s="55"/>
      <c r="I40" s="8" t="s">
        <v>82</v>
      </c>
      <c r="J40" s="8"/>
    </row>
    <row r="41" spans="1:18" ht="13.5" customHeight="1">
      <c r="A41" s="100" t="s">
        <v>17</v>
      </c>
      <c r="B41" s="101">
        <f>[1]Eelarvearuanne!H158</f>
        <v>1607486.02</v>
      </c>
      <c r="C41" s="102">
        <f t="shared" ref="C41:H41" si="13">B41+C37</f>
        <v>757258.49</v>
      </c>
      <c r="D41" s="102">
        <f t="shared" si="13"/>
        <v>91909.889999999898</v>
      </c>
      <c r="E41" s="102">
        <f t="shared" si="13"/>
        <v>248848.15720000141</v>
      </c>
      <c r="F41" s="102">
        <f t="shared" si="13"/>
        <v>456315.29640000057</v>
      </c>
      <c r="G41" s="103">
        <f t="shared" si="13"/>
        <v>448456.77143999981</v>
      </c>
      <c r="H41" s="103">
        <f t="shared" si="13"/>
        <v>734498.73063680017</v>
      </c>
      <c r="I41" s="104" t="s">
        <v>83</v>
      </c>
      <c r="J41" s="59"/>
    </row>
    <row r="42" spans="1:18">
      <c r="A42" s="18" t="s">
        <v>84</v>
      </c>
      <c r="B42" s="105">
        <f>[1]Eelarvearuanne!H156</f>
        <v>10438774.32</v>
      </c>
      <c r="C42" s="81">
        <f t="shared" ref="C42:H42" si="14">B42+C34+C43-B43</f>
        <v>10005698.32</v>
      </c>
      <c r="D42" s="81">
        <f t="shared" si="14"/>
        <v>9383402.3200000003</v>
      </c>
      <c r="E42" s="81">
        <f t="shared" si="14"/>
        <v>10047510.32</v>
      </c>
      <c r="F42" s="81">
        <f t="shared" si="14"/>
        <v>10517558.32</v>
      </c>
      <c r="G42" s="106">
        <f t="shared" si="14"/>
        <v>9287606.3200000003</v>
      </c>
      <c r="H42" s="106">
        <f t="shared" si="14"/>
        <v>8107649.3200000003</v>
      </c>
      <c r="I42" s="71"/>
    </row>
    <row r="43" spans="1:18" ht="34.5" hidden="1" customHeight="1">
      <c r="A43" s="107" t="s">
        <v>85</v>
      </c>
      <c r="B43" s="67"/>
      <c r="C43" s="67"/>
      <c r="D43" s="68"/>
      <c r="E43" s="68"/>
      <c r="F43" s="68"/>
      <c r="G43" s="69"/>
      <c r="H43" s="69"/>
    </row>
    <row r="44" spans="1:18" hidden="1">
      <c r="A44" s="107" t="s">
        <v>86</v>
      </c>
      <c r="B44" s="108">
        <f>[1]Eelarvearuanne!H157</f>
        <v>0</v>
      </c>
      <c r="C44" s="108">
        <f>[1]Eelarvearuanne!D157</f>
        <v>0</v>
      </c>
      <c r="D44" s="54"/>
      <c r="E44" s="54"/>
      <c r="F44" s="54"/>
      <c r="G44" s="109"/>
      <c r="H44" s="109"/>
      <c r="I44" s="8"/>
    </row>
    <row r="45" spans="1:18">
      <c r="A45" s="28" t="s">
        <v>87</v>
      </c>
      <c r="B45" s="29">
        <f t="shared" ref="B45:G45" si="15">IF(B42-B41&lt;0,0,B42-B41)</f>
        <v>8831288.3000000007</v>
      </c>
      <c r="C45" s="29">
        <f>IF(C42-C41&lt;0,0,C42-C41)</f>
        <v>9248439.8300000001</v>
      </c>
      <c r="D45" s="29">
        <f t="shared" si="15"/>
        <v>9291492.4299999997</v>
      </c>
      <c r="E45" s="29">
        <f t="shared" si="15"/>
        <v>9798662.1627999991</v>
      </c>
      <c r="F45" s="29">
        <f t="shared" si="15"/>
        <v>10061243.023599999</v>
      </c>
      <c r="G45" s="30">
        <f t="shared" si="15"/>
        <v>8839149.548560001</v>
      </c>
      <c r="H45" s="30">
        <f>IF(H42-H41&lt;0,0,H42-H41)</f>
        <v>7373150.5893632006</v>
      </c>
      <c r="I45" s="71"/>
    </row>
    <row r="46" spans="1:18">
      <c r="A46" s="28" t="s">
        <v>88</v>
      </c>
      <c r="B46" s="110">
        <f t="shared" ref="B46:G46" si="16">B45/B2</f>
        <v>0.47073562538318386</v>
      </c>
      <c r="C46" s="111">
        <f>C45/C2</f>
        <v>0.45030974658962231</v>
      </c>
      <c r="D46" s="111">
        <f t="shared" si="16"/>
        <v>0.42144428709725368</v>
      </c>
      <c r="E46" s="111">
        <f t="shared" si="16"/>
        <v>0.43907211407898161</v>
      </c>
      <c r="F46" s="111">
        <f t="shared" si="16"/>
        <v>0.43798332567537629</v>
      </c>
      <c r="G46" s="112">
        <f t="shared" si="16"/>
        <v>0.37658674470999159</v>
      </c>
      <c r="H46" s="112">
        <f>H45/H2</f>
        <v>0.30757666407082773</v>
      </c>
    </row>
    <row r="47" spans="1:18">
      <c r="A47" s="28" t="s">
        <v>89</v>
      </c>
      <c r="B47" s="29">
        <f>IF((B20+B18)*10&gt;B2,B2+B44,IF((B20+B18)*10&lt;0.8*B2,0.8*B2+B44,(B20+B18)*10+B44))</f>
        <v>15008489.391999999</v>
      </c>
      <c r="C47" s="29">
        <f>IF((C20+C18)*10&gt;C2,C2+C44,IF((C20+C18)*10&lt;0.8*C2,0.8*C2+C44,(C20+C18)*10+C44))</f>
        <v>16430361.368000001</v>
      </c>
      <c r="D47" s="29">
        <f>IF((D20+D18)*10&gt;D2,D2+D44,IF((D20+D18)*10&lt;0.8*D2,0.8*D2+D44,(D20+D18)*10+D44))</f>
        <v>17637429.600000001</v>
      </c>
      <c r="E47" s="29">
        <f>IF((E20+E18)*9&gt;E2,E2+E44,IF((E20+E18)*9&lt;0.75*E2,0.75*E2+E44,(E20+E18)*9+E44))</f>
        <v>16737561.75</v>
      </c>
      <c r="F47" s="52">
        <f>IF((F20+F18)*8&gt;F2,F2+F44,IF((F20+F18)*8&lt;0.7*F2,0.7*F2+F44,(F20+F18)*8+F44))</f>
        <v>16364494.335999995</v>
      </c>
      <c r="G47" s="30">
        <f>IF((G20+G18)*7&gt;G2,G2+G44,IF((G20+G18)*7&lt;0.65*G2,0.65*G2+G44,(G20+G18)*7+G44))</f>
        <v>15256636.85</v>
      </c>
      <c r="H47" s="30">
        <f>IF((H20+H18)*7&gt;H2,H2+H44,IF((H20+H18)*7&lt;0.65*H2,0.65*H2+H44,(H20+H18)*7+H44))</f>
        <v>15782786.801577602</v>
      </c>
      <c r="I47" s="113" t="s">
        <v>90</v>
      </c>
      <c r="J47" s="114"/>
      <c r="K47" s="113" t="s">
        <v>90</v>
      </c>
    </row>
    <row r="48" spans="1:18" ht="13.5" customHeight="1">
      <c r="A48" s="28" t="s">
        <v>91</v>
      </c>
      <c r="B48" s="111">
        <f t="shared" ref="B48:G48" si="17">B47/B2</f>
        <v>0.8</v>
      </c>
      <c r="C48" s="111">
        <f t="shared" si="17"/>
        <v>0.8</v>
      </c>
      <c r="D48" s="111">
        <f t="shared" si="17"/>
        <v>0.8</v>
      </c>
      <c r="E48" s="111">
        <f t="shared" si="17"/>
        <v>0.75</v>
      </c>
      <c r="F48" s="111">
        <f t="shared" si="17"/>
        <v>0.71237476676242617</v>
      </c>
      <c r="G48" s="112">
        <f t="shared" si="17"/>
        <v>0.65</v>
      </c>
      <c r="H48" s="112">
        <f>H47/H2</f>
        <v>0.65839112538586986</v>
      </c>
      <c r="I48" s="71"/>
      <c r="J48" s="71"/>
      <c r="K48" s="71"/>
      <c r="L48" s="71"/>
      <c r="M48" s="71"/>
      <c r="N48" s="71"/>
      <c r="O48" s="71"/>
      <c r="P48" s="71"/>
      <c r="Q48" s="71"/>
      <c r="R48" s="71"/>
    </row>
    <row r="49" spans="1:15">
      <c r="A49" s="28" t="s">
        <v>24</v>
      </c>
      <c r="B49" s="52">
        <f t="shared" ref="B49:G49" si="18">B47-B45</f>
        <v>6177201.0919999983</v>
      </c>
      <c r="C49" s="52">
        <f t="shared" si="18"/>
        <v>7181921.5380000006</v>
      </c>
      <c r="D49" s="52">
        <f t="shared" si="18"/>
        <v>8345937.1700000018</v>
      </c>
      <c r="E49" s="52">
        <f t="shared" si="18"/>
        <v>6938899.5872000009</v>
      </c>
      <c r="F49" s="52">
        <f t="shared" si="18"/>
        <v>6303251.3123999964</v>
      </c>
      <c r="G49" s="30">
        <f t="shared" si="18"/>
        <v>6417487.3014399987</v>
      </c>
      <c r="H49" s="30">
        <f>H47-H45</f>
        <v>8409636.212214401</v>
      </c>
      <c r="I49" s="71"/>
      <c r="J49" s="71"/>
      <c r="K49" s="71"/>
    </row>
    <row r="50" spans="1:15">
      <c r="A50" s="115"/>
      <c r="B50" s="116"/>
      <c r="C50" s="117"/>
      <c r="D50" s="117"/>
      <c r="E50" s="117"/>
      <c r="F50" s="117"/>
      <c r="G50" s="118"/>
      <c r="H50" s="118"/>
    </row>
    <row r="51" spans="1:15" s="71" customFormat="1" ht="13.8" hidden="1" thickBot="1">
      <c r="A51" s="119" t="s">
        <v>92</v>
      </c>
      <c r="B51" s="120">
        <f t="shared" ref="B51:G51" si="19">B33+B34-B37+B38</f>
        <v>-2.2118911147117615E-9</v>
      </c>
      <c r="C51" s="120">
        <f>C33+C34-C37+C38</f>
        <v>9.3132257461547852E-10</v>
      </c>
      <c r="D51" s="120">
        <f>D33+D34-D37+D38</f>
        <v>0</v>
      </c>
      <c r="E51" s="120">
        <f t="shared" si="19"/>
        <v>0</v>
      </c>
      <c r="F51" s="120">
        <f t="shared" si="19"/>
        <v>0</v>
      </c>
      <c r="G51" s="121">
        <f t="shared" si="19"/>
        <v>0</v>
      </c>
      <c r="H51" s="121">
        <f>H33+H34-H37+H38</f>
        <v>0</v>
      </c>
      <c r="I51" s="71" t="s">
        <v>93</v>
      </c>
      <c r="J51" s="122"/>
    </row>
    <row r="52" spans="1:15" s="126" customFormat="1" ht="10.199999999999999" hidden="1">
      <c r="A52" s="123" t="s">
        <v>94</v>
      </c>
      <c r="B52" s="124" t="str">
        <f t="shared" ref="B52:G52" si="20">IF((-B24-B26-B28-B30)&lt;B35,"FALSE","OK")</f>
        <v>FALSE</v>
      </c>
      <c r="C52" s="124" t="str">
        <f t="shared" si="20"/>
        <v>OK</v>
      </c>
      <c r="D52" s="124" t="str">
        <f t="shared" si="20"/>
        <v>OK</v>
      </c>
      <c r="E52" s="124" t="str">
        <f t="shared" si="20"/>
        <v>OK</v>
      </c>
      <c r="F52" s="124" t="str">
        <f t="shared" si="20"/>
        <v>OK</v>
      </c>
      <c r="G52" s="124" t="str">
        <f t="shared" si="20"/>
        <v>OK</v>
      </c>
      <c r="H52" s="124" t="str">
        <f>IF((-H24-H26-H28-H30)&lt;H35,"FALSE","OK")</f>
        <v>OK</v>
      </c>
      <c r="I52" s="125" t="s">
        <v>95</v>
      </c>
    </row>
    <row r="53" spans="1:15">
      <c r="A53" s="127" t="s">
        <v>96</v>
      </c>
      <c r="B53" s="128" t="s">
        <v>97</v>
      </c>
      <c r="C53" s="129">
        <f t="shared" ref="C53:H53" si="21">C2/B2-1</f>
        <v>9.4737847285144117E-2</v>
      </c>
      <c r="D53" s="129">
        <f t="shared" si="21"/>
        <v>7.3465714171746743E-2</v>
      </c>
      <c r="E53" s="129">
        <f t="shared" si="21"/>
        <v>1.2244958868609768E-2</v>
      </c>
      <c r="F53" s="129">
        <f t="shared" si="21"/>
        <v>2.9350153106977972E-2</v>
      </c>
      <c r="G53" s="129">
        <f t="shared" si="21"/>
        <v>2.1765865542062057E-2</v>
      </c>
      <c r="H53" s="129">
        <f t="shared" si="21"/>
        <v>2.1302204620541998E-2</v>
      </c>
    </row>
    <row r="54" spans="1:15">
      <c r="A54" s="127" t="s">
        <v>98</v>
      </c>
      <c r="B54" s="128" t="s">
        <v>97</v>
      </c>
      <c r="C54" s="129">
        <f t="shared" ref="C54:H54" si="22">C13/B13-1</f>
        <v>0.14924772236599648</v>
      </c>
      <c r="D54" s="129">
        <f t="shared" si="22"/>
        <v>4.0071799779735962E-2</v>
      </c>
      <c r="E54" s="129">
        <f t="shared" si="22"/>
        <v>-5.7565461342711233E-3</v>
      </c>
      <c r="F54" s="129">
        <f t="shared" si="22"/>
        <v>1.8685641486108517E-2</v>
      </c>
      <c r="G54" s="129">
        <f t="shared" si="22"/>
        <v>1.8709750623387533E-2</v>
      </c>
      <c r="H54" s="129">
        <f t="shared" si="22"/>
        <v>1.8733447504725387E-2</v>
      </c>
    </row>
    <row r="55" spans="1:15">
      <c r="A55" s="127" t="s">
        <v>99</v>
      </c>
      <c r="B55" s="130">
        <f t="shared" ref="B55:G55" si="23">B2/B13</f>
        <v>1.0853424444760236</v>
      </c>
      <c r="C55" s="130">
        <f t="shared" si="23"/>
        <v>1.0338636554238807</v>
      </c>
      <c r="D55" s="130">
        <f t="shared" si="23"/>
        <v>1.0670582429605757</v>
      </c>
      <c r="E55" s="130">
        <f t="shared" si="23"/>
        <v>1.0863781129826864</v>
      </c>
      <c r="F55" s="130">
        <f t="shared" si="23"/>
        <v>1.0977512898870554</v>
      </c>
      <c r="G55" s="130">
        <f t="shared" si="23"/>
        <v>1.1010445283114105</v>
      </c>
      <c r="H55" s="130">
        <f>H2/H13</f>
        <v>1.1038208344922458</v>
      </c>
    </row>
    <row r="56" spans="1:15" ht="25.5" customHeight="1" thickBot="1"/>
    <row r="57" spans="1:15" ht="42.75" customHeight="1" thickBot="1">
      <c r="A57" s="131" t="s">
        <v>100</v>
      </c>
      <c r="B57" s="2"/>
      <c r="C57" s="2" t="s">
        <v>2</v>
      </c>
      <c r="D57" s="2" t="s">
        <v>3</v>
      </c>
      <c r="E57" s="2" t="s">
        <v>4</v>
      </c>
      <c r="F57" s="2" t="s">
        <v>5</v>
      </c>
      <c r="G57" s="3" t="s">
        <v>6</v>
      </c>
      <c r="H57" s="3" t="s">
        <v>6</v>
      </c>
      <c r="I57" s="132" t="s">
        <v>101</v>
      </c>
      <c r="J57" s="133"/>
      <c r="K57" s="133"/>
      <c r="L57" s="133"/>
      <c r="M57" s="133"/>
      <c r="N57" s="133"/>
      <c r="O57" s="133"/>
    </row>
    <row r="58" spans="1:15">
      <c r="A58" s="134" t="s">
        <v>102</v>
      </c>
      <c r="B58" s="135"/>
      <c r="C58" s="135">
        <f t="shared" ref="C58:H58" si="24">SUM(C59:C60)</f>
        <v>0</v>
      </c>
      <c r="D58" s="135">
        <f t="shared" si="24"/>
        <v>0</v>
      </c>
      <c r="E58" s="135">
        <f t="shared" si="24"/>
        <v>0</v>
      </c>
      <c r="F58" s="135">
        <f t="shared" si="24"/>
        <v>0</v>
      </c>
      <c r="G58" s="136">
        <f t="shared" si="24"/>
        <v>0</v>
      </c>
      <c r="H58" s="136">
        <f t="shared" si="24"/>
        <v>0</v>
      </c>
      <c r="I58" s="104" t="s">
        <v>103</v>
      </c>
      <c r="J58" s="104"/>
      <c r="K58" s="59"/>
      <c r="L58" s="59"/>
    </row>
    <row r="59" spans="1:15" ht="21.6">
      <c r="A59" s="137" t="s">
        <v>104</v>
      </c>
      <c r="B59" s="81"/>
      <c r="C59" s="54"/>
      <c r="D59" s="54"/>
      <c r="E59" s="54"/>
      <c r="F59" s="54"/>
      <c r="G59" s="55"/>
      <c r="H59" s="55"/>
      <c r="I59" s="71"/>
    </row>
    <row r="60" spans="1:15">
      <c r="A60" s="137" t="s">
        <v>105</v>
      </c>
      <c r="B60" s="81"/>
      <c r="C60" s="54"/>
      <c r="D60" s="54"/>
      <c r="E60" s="54"/>
      <c r="F60" s="54"/>
      <c r="G60" s="55"/>
      <c r="H60" s="55"/>
      <c r="I60" s="8" t="s">
        <v>106</v>
      </c>
    </row>
    <row r="61" spans="1:15" ht="14.1" customHeight="1">
      <c r="A61" s="134" t="s">
        <v>107</v>
      </c>
      <c r="B61" s="135"/>
      <c r="C61" s="135">
        <f t="shared" ref="C61:H61" si="25">SUM(C62:C63)</f>
        <v>0</v>
      </c>
      <c r="D61" s="135">
        <f t="shared" si="25"/>
        <v>0</v>
      </c>
      <c r="E61" s="135">
        <f t="shared" si="25"/>
        <v>0</v>
      </c>
      <c r="F61" s="135">
        <f t="shared" si="25"/>
        <v>0</v>
      </c>
      <c r="G61" s="136">
        <f t="shared" si="25"/>
        <v>0</v>
      </c>
      <c r="H61" s="136">
        <f t="shared" si="25"/>
        <v>0</v>
      </c>
    </row>
    <row r="62" spans="1:15" ht="14.1" customHeight="1">
      <c r="A62" s="137" t="s">
        <v>104</v>
      </c>
      <c r="B62" s="81"/>
      <c r="C62" s="54"/>
      <c r="D62" s="54"/>
      <c r="E62" s="54"/>
      <c r="F62" s="54"/>
      <c r="G62" s="55"/>
      <c r="H62" s="55"/>
    </row>
    <row r="63" spans="1:15" ht="14.1" customHeight="1">
      <c r="A63" s="137" t="s">
        <v>105</v>
      </c>
      <c r="B63" s="81"/>
      <c r="C63" s="54"/>
      <c r="D63" s="54"/>
      <c r="E63" s="54"/>
      <c r="F63" s="54"/>
      <c r="G63" s="55"/>
      <c r="H63" s="55"/>
    </row>
    <row r="64" spans="1:15" ht="14.1" customHeight="1">
      <c r="A64" s="134" t="s">
        <v>108</v>
      </c>
      <c r="B64" s="135"/>
      <c r="C64" s="135">
        <f t="shared" ref="C64:H64" si="26">SUM(C65:C66)</f>
        <v>34842</v>
      </c>
      <c r="D64" s="135">
        <f t="shared" si="26"/>
        <v>0</v>
      </c>
      <c r="E64" s="135">
        <f t="shared" si="26"/>
        <v>0</v>
      </c>
      <c r="F64" s="135">
        <f t="shared" si="26"/>
        <v>0</v>
      </c>
      <c r="G64" s="136">
        <f t="shared" si="26"/>
        <v>0</v>
      </c>
      <c r="H64" s="136">
        <f t="shared" si="26"/>
        <v>0</v>
      </c>
    </row>
    <row r="65" spans="1:9" ht="14.1" customHeight="1">
      <c r="A65" s="137" t="s">
        <v>104</v>
      </c>
      <c r="B65" s="81"/>
      <c r="C65" s="54">
        <f>C95</f>
        <v>28320</v>
      </c>
      <c r="D65" s="54"/>
      <c r="E65" s="54"/>
      <c r="F65" s="54"/>
      <c r="G65" s="55"/>
      <c r="H65" s="55"/>
    </row>
    <row r="66" spans="1:9" ht="14.1" customHeight="1">
      <c r="A66" s="137" t="s">
        <v>105</v>
      </c>
      <c r="B66" s="81"/>
      <c r="C66" s="54">
        <f>C96</f>
        <v>6522</v>
      </c>
      <c r="D66" s="54"/>
      <c r="E66" s="54"/>
      <c r="F66" s="54"/>
      <c r="G66" s="55"/>
      <c r="H66" s="55"/>
    </row>
    <row r="67" spans="1:9" ht="14.1" customHeight="1">
      <c r="A67" s="134" t="s">
        <v>109</v>
      </c>
      <c r="B67" s="135"/>
      <c r="C67" s="135">
        <f t="shared" ref="C67:H67" si="27">SUM(C68:C69)</f>
        <v>880158</v>
      </c>
      <c r="D67" s="135">
        <f t="shared" si="27"/>
        <v>668925</v>
      </c>
      <c r="E67" s="135">
        <f t="shared" si="27"/>
        <v>1300000</v>
      </c>
      <c r="F67" s="135">
        <f t="shared" si="27"/>
        <v>1200000</v>
      </c>
      <c r="G67" s="136">
        <f t="shared" si="27"/>
        <v>500000</v>
      </c>
      <c r="H67" s="136">
        <f t="shared" si="27"/>
        <v>500000</v>
      </c>
      <c r="I67" s="71"/>
    </row>
    <row r="68" spans="1:9" ht="14.1" customHeight="1">
      <c r="A68" s="137" t="s">
        <v>104</v>
      </c>
      <c r="B68" s="81"/>
      <c r="C68" s="54">
        <f t="shared" ref="C68:H69" si="28">C98+C101+C104+C107</f>
        <v>100000</v>
      </c>
      <c r="D68" s="54">
        <f>D98+D101+D104+D107</f>
        <v>0</v>
      </c>
      <c r="E68" s="54">
        <f t="shared" si="28"/>
        <v>525000</v>
      </c>
      <c r="F68" s="54">
        <f t="shared" si="28"/>
        <v>525000</v>
      </c>
      <c r="G68" s="54">
        <f t="shared" si="28"/>
        <v>0</v>
      </c>
      <c r="H68" s="54">
        <f t="shared" si="28"/>
        <v>0</v>
      </c>
      <c r="I68" s="8" t="s">
        <v>110</v>
      </c>
    </row>
    <row r="69" spans="1:9" ht="14.1" customHeight="1">
      <c r="A69" s="137" t="s">
        <v>105</v>
      </c>
      <c r="B69" s="81"/>
      <c r="C69" s="54">
        <f t="shared" si="28"/>
        <v>780158</v>
      </c>
      <c r="D69" s="54">
        <f>D99+D102+D105+D108</f>
        <v>668925</v>
      </c>
      <c r="E69" s="54">
        <f t="shared" si="28"/>
        <v>775000</v>
      </c>
      <c r="F69" s="54">
        <f t="shared" si="28"/>
        <v>675000</v>
      </c>
      <c r="G69" s="54">
        <f t="shared" si="28"/>
        <v>500000</v>
      </c>
      <c r="H69" s="54">
        <f t="shared" si="28"/>
        <v>500000</v>
      </c>
    </row>
    <row r="70" spans="1:9" ht="14.1" customHeight="1">
      <c r="A70" s="134" t="s">
        <v>111</v>
      </c>
      <c r="B70" s="81"/>
      <c r="C70" s="135">
        <f t="shared" ref="C70:H70" si="29">SUM(C71:C72)</f>
        <v>0</v>
      </c>
      <c r="D70" s="135">
        <f t="shared" si="29"/>
        <v>0</v>
      </c>
      <c r="E70" s="135">
        <f t="shared" si="29"/>
        <v>0</v>
      </c>
      <c r="F70" s="135">
        <f t="shared" si="29"/>
        <v>0</v>
      </c>
      <c r="G70" s="136">
        <f t="shared" si="29"/>
        <v>0</v>
      </c>
      <c r="H70" s="136">
        <f t="shared" si="29"/>
        <v>0</v>
      </c>
    </row>
    <row r="71" spans="1:9" ht="14.1" customHeight="1">
      <c r="A71" s="137" t="s">
        <v>104</v>
      </c>
      <c r="B71" s="81"/>
      <c r="C71" s="54"/>
      <c r="D71" s="54"/>
      <c r="E71" s="54"/>
      <c r="F71" s="54"/>
      <c r="G71" s="55"/>
      <c r="H71" s="55"/>
    </row>
    <row r="72" spans="1:9">
      <c r="A72" s="137" t="s">
        <v>105</v>
      </c>
      <c r="B72" s="81"/>
      <c r="C72" s="54"/>
      <c r="D72" s="54"/>
      <c r="E72" s="54"/>
      <c r="F72" s="54"/>
      <c r="G72" s="55"/>
      <c r="H72" s="55"/>
    </row>
    <row r="73" spans="1:9">
      <c r="A73" s="134" t="s">
        <v>112</v>
      </c>
      <c r="B73" s="81"/>
      <c r="C73" s="135">
        <f t="shared" ref="C73:H73" si="30">SUM(C74:C75)</f>
        <v>373345</v>
      </c>
      <c r="D73" s="135">
        <f t="shared" si="30"/>
        <v>0</v>
      </c>
      <c r="E73" s="135">
        <f t="shared" si="30"/>
        <v>0</v>
      </c>
      <c r="F73" s="135">
        <f t="shared" si="30"/>
        <v>0</v>
      </c>
      <c r="G73" s="136">
        <f t="shared" si="30"/>
        <v>0</v>
      </c>
      <c r="H73" s="136">
        <f t="shared" si="30"/>
        <v>0</v>
      </c>
    </row>
    <row r="74" spans="1:9" ht="21.6">
      <c r="A74" s="137" t="s">
        <v>104</v>
      </c>
      <c r="B74" s="81"/>
      <c r="C74" s="54">
        <f t="shared" ref="C74:H75" si="31">C110+C113</f>
        <v>189201</v>
      </c>
      <c r="D74" s="54">
        <f t="shared" si="31"/>
        <v>0</v>
      </c>
      <c r="E74" s="54">
        <f t="shared" si="31"/>
        <v>0</v>
      </c>
      <c r="F74" s="54">
        <f t="shared" si="31"/>
        <v>0</v>
      </c>
      <c r="G74" s="54">
        <f t="shared" si="31"/>
        <v>0</v>
      </c>
      <c r="H74" s="54">
        <f t="shared" si="31"/>
        <v>0</v>
      </c>
    </row>
    <row r="75" spans="1:9">
      <c r="A75" s="137" t="s">
        <v>105</v>
      </c>
      <c r="B75" s="81"/>
      <c r="C75" s="54">
        <f t="shared" si="31"/>
        <v>184144</v>
      </c>
      <c r="D75" s="54">
        <f t="shared" si="31"/>
        <v>0</v>
      </c>
      <c r="E75" s="54">
        <f t="shared" si="31"/>
        <v>0</v>
      </c>
      <c r="F75" s="54">
        <f t="shared" si="31"/>
        <v>0</v>
      </c>
      <c r="G75" s="54">
        <f t="shared" si="31"/>
        <v>0</v>
      </c>
      <c r="H75" s="54">
        <f t="shared" si="31"/>
        <v>0</v>
      </c>
    </row>
    <row r="76" spans="1:9">
      <c r="A76" s="134" t="s">
        <v>113</v>
      </c>
      <c r="B76" s="81"/>
      <c r="C76" s="135">
        <f t="shared" ref="C76:H76" si="32">SUM(C77:C78)</f>
        <v>39463</v>
      </c>
      <c r="D76" s="135">
        <f t="shared" si="32"/>
        <v>0</v>
      </c>
      <c r="E76" s="135">
        <f t="shared" si="32"/>
        <v>0</v>
      </c>
      <c r="F76" s="135">
        <f t="shared" si="32"/>
        <v>0</v>
      </c>
      <c r="G76" s="136">
        <f t="shared" si="32"/>
        <v>0</v>
      </c>
      <c r="H76" s="136">
        <f t="shared" si="32"/>
        <v>0</v>
      </c>
    </row>
    <row r="77" spans="1:9" ht="21.6">
      <c r="A77" s="137" t="s">
        <v>104</v>
      </c>
      <c r="B77" s="81"/>
      <c r="C77" s="54">
        <f t="shared" ref="C77:G78" si="33">C116</f>
        <v>0</v>
      </c>
      <c r="D77" s="54">
        <f t="shared" si="33"/>
        <v>0</v>
      </c>
      <c r="E77" s="54">
        <f t="shared" si="33"/>
        <v>0</v>
      </c>
      <c r="F77" s="54">
        <f t="shared" si="33"/>
        <v>0</v>
      </c>
      <c r="G77" s="54">
        <f t="shared" si="33"/>
        <v>0</v>
      </c>
      <c r="H77" s="54">
        <f>H116</f>
        <v>0</v>
      </c>
    </row>
    <row r="78" spans="1:9">
      <c r="A78" s="137" t="s">
        <v>105</v>
      </c>
      <c r="B78" s="81"/>
      <c r="C78" s="54">
        <f t="shared" si="33"/>
        <v>39463</v>
      </c>
      <c r="D78" s="54">
        <f t="shared" si="33"/>
        <v>0</v>
      </c>
      <c r="E78" s="54">
        <f t="shared" si="33"/>
        <v>0</v>
      </c>
      <c r="F78" s="54">
        <f t="shared" si="33"/>
        <v>0</v>
      </c>
      <c r="G78" s="54">
        <f t="shared" si="33"/>
        <v>0</v>
      </c>
      <c r="H78" s="54">
        <f>H117</f>
        <v>0</v>
      </c>
    </row>
    <row r="79" spans="1:9">
      <c r="A79" s="134" t="s">
        <v>114</v>
      </c>
      <c r="B79" s="81"/>
      <c r="C79" s="135">
        <f t="shared" ref="C79:H79" si="34">SUM(C80:C81)</f>
        <v>268081</v>
      </c>
      <c r="D79" s="135">
        <f t="shared" si="34"/>
        <v>219748.6</v>
      </c>
      <c r="E79" s="135">
        <f t="shared" si="34"/>
        <v>2100000</v>
      </c>
      <c r="F79" s="135">
        <f t="shared" si="34"/>
        <v>2150000</v>
      </c>
      <c r="G79" s="136">
        <f t="shared" si="34"/>
        <v>200000</v>
      </c>
      <c r="H79" s="136">
        <f t="shared" si="34"/>
        <v>200000</v>
      </c>
    </row>
    <row r="80" spans="1:9">
      <c r="A80" s="137" t="s">
        <v>104</v>
      </c>
      <c r="B80" s="81"/>
      <c r="C80" s="54">
        <f>C125+C137+C143+C149</f>
        <v>0</v>
      </c>
      <c r="D80" s="54">
        <f>D125+D137+D143+D149+D152+D134</f>
        <v>65939.600000000006</v>
      </c>
      <c r="E80" s="54">
        <f>E125+E128+E131+E134+E137+E143+E149+E152</f>
        <v>800000</v>
      </c>
      <c r="F80" s="54">
        <f>F125+F128+F131+F134+F137+F143+F149+F152</f>
        <v>750000</v>
      </c>
      <c r="G80" s="54">
        <f>G125+G128+G131+G134+G137+G143+G149+G152</f>
        <v>0</v>
      </c>
      <c r="H80" s="54">
        <f>H125+H128+H131+H134+H137+H143+H149+H152</f>
        <v>0</v>
      </c>
    </row>
    <row r="81" spans="1:9">
      <c r="A81" s="137" t="s">
        <v>105</v>
      </c>
      <c r="B81" s="81"/>
      <c r="C81" s="54">
        <f>C126+C138+C144+C150</f>
        <v>268081</v>
      </c>
      <c r="D81" s="54">
        <f>+D120+D123+D141+D147+D126+D138+D144+D150+D153+D132+D135</f>
        <v>153809</v>
      </c>
      <c r="E81" s="54">
        <f>E126+E129+E132+E135+E138+E144+E150</f>
        <v>1300000</v>
      </c>
      <c r="F81" s="54">
        <f>F126+F129+F132+F135+F138+F144+F150</f>
        <v>1400000</v>
      </c>
      <c r="G81" s="54">
        <f>G126+G129+G132+G135+G138+G144+G150</f>
        <v>200000</v>
      </c>
      <c r="H81" s="54">
        <f>H126+H129+H132+H135+H138+H144+H150</f>
        <v>200000</v>
      </c>
    </row>
    <row r="82" spans="1:9">
      <c r="A82" s="134" t="s">
        <v>115</v>
      </c>
      <c r="B82" s="81"/>
      <c r="C82" s="135">
        <f t="shared" ref="C82:H82" si="35">SUM(C83:C84)</f>
        <v>85594</v>
      </c>
      <c r="D82" s="135">
        <f t="shared" si="35"/>
        <v>43801</v>
      </c>
      <c r="E82" s="135">
        <f t="shared" si="35"/>
        <v>0</v>
      </c>
      <c r="F82" s="135">
        <f t="shared" si="35"/>
        <v>0</v>
      </c>
      <c r="G82" s="136">
        <f t="shared" si="35"/>
        <v>0</v>
      </c>
      <c r="H82" s="136">
        <f t="shared" si="35"/>
        <v>0</v>
      </c>
    </row>
    <row r="83" spans="1:9" ht="21.6">
      <c r="A83" s="137" t="s">
        <v>104</v>
      </c>
      <c r="B83" s="81"/>
      <c r="C83" s="54">
        <f t="shared" ref="C83:H83" si="36">C155+C161+C167</f>
        <v>0</v>
      </c>
      <c r="D83" s="54">
        <f t="shared" si="36"/>
        <v>0</v>
      </c>
      <c r="E83" s="54">
        <f t="shared" si="36"/>
        <v>0</v>
      </c>
      <c r="F83" s="54">
        <f t="shared" si="36"/>
        <v>0</v>
      </c>
      <c r="G83" s="54">
        <f t="shared" si="36"/>
        <v>0</v>
      </c>
      <c r="H83" s="54">
        <f t="shared" si="36"/>
        <v>0</v>
      </c>
    </row>
    <row r="84" spans="1:9">
      <c r="A84" s="137" t="s">
        <v>105</v>
      </c>
      <c r="B84" s="81"/>
      <c r="C84" s="54">
        <f>C156+C162+C168</f>
        <v>85594</v>
      </c>
      <c r="D84" s="54">
        <f>D156+D159+D162+D165+D171</f>
        <v>43801</v>
      </c>
      <c r="E84" s="54">
        <f>E156+E162+E168</f>
        <v>0</v>
      </c>
      <c r="F84" s="54">
        <f>F156+F162+F168</f>
        <v>0</v>
      </c>
      <c r="G84" s="54">
        <f>G156+G162+G168</f>
        <v>0</v>
      </c>
      <c r="H84" s="54">
        <f>H156+H162+H168</f>
        <v>0</v>
      </c>
    </row>
    <row r="85" spans="1:9">
      <c r="A85" s="134" t="s">
        <v>116</v>
      </c>
      <c r="B85" s="135"/>
      <c r="C85" s="135">
        <f t="shared" ref="C85:H85" si="37">SUM(C86:C87)</f>
        <v>86999</v>
      </c>
      <c r="D85" s="135">
        <f t="shared" si="37"/>
        <v>15000</v>
      </c>
      <c r="E85" s="135">
        <f t="shared" si="37"/>
        <v>0</v>
      </c>
      <c r="F85" s="135">
        <f t="shared" si="37"/>
        <v>0</v>
      </c>
      <c r="G85" s="136">
        <f t="shared" si="37"/>
        <v>0</v>
      </c>
      <c r="H85" s="136">
        <f t="shared" si="37"/>
        <v>0</v>
      </c>
    </row>
    <row r="86" spans="1:9">
      <c r="A86" s="137" t="s">
        <v>104</v>
      </c>
      <c r="B86" s="81"/>
      <c r="C86" s="54">
        <f t="shared" ref="C86:G87" si="38">C173</f>
        <v>85640</v>
      </c>
      <c r="D86" s="54">
        <f>D173+D176</f>
        <v>15000</v>
      </c>
      <c r="E86" s="54">
        <f t="shared" si="38"/>
        <v>0</v>
      </c>
      <c r="F86" s="54">
        <f t="shared" si="38"/>
        <v>0</v>
      </c>
      <c r="G86" s="54">
        <f t="shared" si="38"/>
        <v>0</v>
      </c>
      <c r="H86" s="54">
        <f>H173</f>
        <v>0</v>
      </c>
    </row>
    <row r="87" spans="1:9" s="8" customFormat="1" ht="13.2">
      <c r="A87" s="137" t="s">
        <v>105</v>
      </c>
      <c r="B87" s="81"/>
      <c r="C87" s="54">
        <f t="shared" si="38"/>
        <v>1359</v>
      </c>
      <c r="D87" s="54">
        <f>D174+D177</f>
        <v>0</v>
      </c>
      <c r="E87" s="54">
        <f t="shared" si="38"/>
        <v>0</v>
      </c>
      <c r="F87" s="54">
        <f t="shared" si="38"/>
        <v>0</v>
      </c>
      <c r="G87" s="54">
        <f t="shared" si="38"/>
        <v>0</v>
      </c>
      <c r="H87" s="54">
        <f>H174</f>
        <v>0</v>
      </c>
    </row>
    <row r="88" spans="1:9" s="141" customFormat="1" ht="13.2">
      <c r="A88" s="138" t="s">
        <v>117</v>
      </c>
      <c r="B88" s="139"/>
      <c r="C88" s="139">
        <f t="shared" ref="C88:H88" si="39">SUM(C89:C90)</f>
        <v>1768482</v>
      </c>
      <c r="D88" s="139">
        <f t="shared" si="39"/>
        <v>947474.6</v>
      </c>
      <c r="E88" s="139">
        <f t="shared" si="39"/>
        <v>3400000</v>
      </c>
      <c r="F88" s="139">
        <f t="shared" si="39"/>
        <v>3350000</v>
      </c>
      <c r="G88" s="140">
        <f t="shared" si="39"/>
        <v>700000</v>
      </c>
      <c r="H88" s="140">
        <f t="shared" si="39"/>
        <v>700000</v>
      </c>
    </row>
    <row r="89" spans="1:9" s="94" customFormat="1">
      <c r="A89" s="142" t="s">
        <v>104</v>
      </c>
      <c r="B89" s="58"/>
      <c r="C89" s="58">
        <f t="shared" ref="C89:H90" si="40">C59+C62+C65+C68+C71+C74+C77+C80+C83+C86</f>
        <v>403161</v>
      </c>
      <c r="D89" s="58">
        <f t="shared" si="40"/>
        <v>80939.600000000006</v>
      </c>
      <c r="E89" s="58">
        <f t="shared" si="40"/>
        <v>1325000</v>
      </c>
      <c r="F89" s="58">
        <f t="shared" si="40"/>
        <v>1275000</v>
      </c>
      <c r="G89" s="58">
        <f t="shared" si="40"/>
        <v>0</v>
      </c>
      <c r="H89" s="58">
        <f t="shared" si="40"/>
        <v>0</v>
      </c>
    </row>
    <row r="90" spans="1:9" s="94" customFormat="1" ht="15" thickBot="1">
      <c r="A90" s="143" t="s">
        <v>105</v>
      </c>
      <c r="B90" s="144"/>
      <c r="C90" s="144">
        <f t="shared" si="40"/>
        <v>1365321</v>
      </c>
      <c r="D90" s="144">
        <f t="shared" si="40"/>
        <v>866535</v>
      </c>
      <c r="E90" s="144">
        <f t="shared" si="40"/>
        <v>2075000</v>
      </c>
      <c r="F90" s="144">
        <f t="shared" si="40"/>
        <v>2075000</v>
      </c>
      <c r="G90" s="144">
        <f t="shared" si="40"/>
        <v>700000</v>
      </c>
      <c r="H90" s="144">
        <f>H60+H63+H66+H69+H72+H75+H78+H81+H84+H87</f>
        <v>700000</v>
      </c>
    </row>
    <row r="91" spans="1:9" ht="19.5" hidden="1" customHeight="1">
      <c r="A91" s="145" t="s">
        <v>118</v>
      </c>
      <c r="C91" s="146">
        <f t="shared" ref="C91:H91" si="41">C23+C88</f>
        <v>0</v>
      </c>
      <c r="D91" s="147">
        <f t="shared" si="41"/>
        <v>0</v>
      </c>
      <c r="E91" s="147">
        <f t="shared" si="41"/>
        <v>0</v>
      </c>
      <c r="F91" s="147">
        <f t="shared" si="41"/>
        <v>0</v>
      </c>
      <c r="G91" s="147">
        <f t="shared" si="41"/>
        <v>0</v>
      </c>
      <c r="H91" s="147">
        <f t="shared" si="41"/>
        <v>0</v>
      </c>
      <c r="I91" s="113" t="s">
        <v>93</v>
      </c>
    </row>
    <row r="93" spans="1:9">
      <c r="A93" s="71" t="s">
        <v>119</v>
      </c>
      <c r="B93" s="141" t="s">
        <v>120</v>
      </c>
      <c r="C93" s="141"/>
      <c r="D93" s="141"/>
      <c r="E93" s="141"/>
      <c r="F93" s="141"/>
    </row>
    <row r="94" spans="1:9">
      <c r="A94" s="148" t="s">
        <v>121</v>
      </c>
      <c r="B94" s="149"/>
      <c r="C94" s="135">
        <f t="shared" ref="C94:H94" si="42">SUM(C95:C96)</f>
        <v>34842</v>
      </c>
      <c r="D94" s="135">
        <f t="shared" si="42"/>
        <v>0</v>
      </c>
      <c r="E94" s="135">
        <f t="shared" si="42"/>
        <v>0</v>
      </c>
      <c r="F94" s="135">
        <f t="shared" si="42"/>
        <v>0</v>
      </c>
      <c r="G94" s="136">
        <f t="shared" si="42"/>
        <v>0</v>
      </c>
      <c r="H94" s="136">
        <f t="shared" si="42"/>
        <v>0</v>
      </c>
    </row>
    <row r="95" spans="1:9">
      <c r="A95" s="137" t="s">
        <v>104</v>
      </c>
      <c r="B95" s="149"/>
      <c r="C95" s="54">
        <v>28320</v>
      </c>
      <c r="D95" s="150"/>
      <c r="E95" s="150"/>
      <c r="F95" s="150"/>
      <c r="G95" s="150"/>
      <c r="H95" s="150"/>
    </row>
    <row r="96" spans="1:9">
      <c r="A96" s="137" t="s">
        <v>105</v>
      </c>
      <c r="B96" s="149"/>
      <c r="C96" s="150">
        <f>6522</f>
        <v>6522</v>
      </c>
      <c r="D96" s="150"/>
      <c r="E96" s="150"/>
      <c r="F96" s="150"/>
      <c r="G96" s="150"/>
      <c r="H96" s="150"/>
    </row>
    <row r="97" spans="1:8">
      <c r="A97" s="151" t="s">
        <v>122</v>
      </c>
      <c r="B97" s="149"/>
      <c r="C97" s="135">
        <f t="shared" ref="C97:H97" si="43">SUM(C98:C99)</f>
        <v>804639</v>
      </c>
      <c r="D97" s="135">
        <f t="shared" si="43"/>
        <v>500000</v>
      </c>
      <c r="E97" s="135">
        <f t="shared" si="43"/>
        <v>500000</v>
      </c>
      <c r="F97" s="135">
        <f t="shared" si="43"/>
        <v>500000</v>
      </c>
      <c r="G97" s="136">
        <f t="shared" si="43"/>
        <v>500000</v>
      </c>
      <c r="H97" s="136">
        <f t="shared" si="43"/>
        <v>500000</v>
      </c>
    </row>
    <row r="98" spans="1:8">
      <c r="A98" s="137" t="s">
        <v>104</v>
      </c>
      <c r="B98" s="149"/>
      <c r="C98" s="150">
        <v>100000</v>
      </c>
      <c r="D98" s="150"/>
      <c r="E98" s="150"/>
      <c r="F98" s="150"/>
      <c r="G98" s="150"/>
      <c r="H98" s="150"/>
    </row>
    <row r="99" spans="1:8">
      <c r="A99" s="137" t="s">
        <v>105</v>
      </c>
      <c r="B99" s="149"/>
      <c r="C99" s="150">
        <f>710217-5578</f>
        <v>704639</v>
      </c>
      <c r="D99" s="150">
        <v>500000</v>
      </c>
      <c r="E99" s="150">
        <v>500000</v>
      </c>
      <c r="F99" s="150">
        <v>500000</v>
      </c>
      <c r="G99" s="150">
        <v>500000</v>
      </c>
      <c r="H99" s="150">
        <v>500000</v>
      </c>
    </row>
    <row r="100" spans="1:8" ht="27">
      <c r="A100" s="152" t="s">
        <v>123</v>
      </c>
      <c r="B100" s="149"/>
      <c r="C100" s="135">
        <f t="shared" ref="C100:H100" si="44">SUM(C101:C102)</f>
        <v>52519</v>
      </c>
      <c r="D100" s="135">
        <f t="shared" si="44"/>
        <v>75445</v>
      </c>
      <c r="E100" s="135">
        <f t="shared" si="44"/>
        <v>200000</v>
      </c>
      <c r="F100" s="135">
        <f t="shared" si="44"/>
        <v>200000</v>
      </c>
      <c r="G100" s="136">
        <f t="shared" si="44"/>
        <v>0</v>
      </c>
      <c r="H100" s="136">
        <f t="shared" si="44"/>
        <v>0</v>
      </c>
    </row>
    <row r="101" spans="1:8">
      <c r="A101" s="137" t="s">
        <v>104</v>
      </c>
      <c r="B101" s="149"/>
      <c r="C101" s="54"/>
      <c r="D101" s="150"/>
      <c r="E101" s="150">
        <v>150000</v>
      </c>
      <c r="F101" s="150">
        <v>150000</v>
      </c>
      <c r="G101" s="150"/>
      <c r="H101" s="150"/>
    </row>
    <row r="102" spans="1:8">
      <c r="A102" s="137" t="s">
        <v>105</v>
      </c>
      <c r="B102" s="149"/>
      <c r="C102" s="150">
        <v>52519</v>
      </c>
      <c r="D102" s="150">
        <v>75445</v>
      </c>
      <c r="E102" s="150">
        <v>50000</v>
      </c>
      <c r="F102" s="150">
        <v>50000</v>
      </c>
      <c r="G102" s="150"/>
      <c r="H102" s="150"/>
    </row>
    <row r="103" spans="1:8">
      <c r="A103" s="153" t="s">
        <v>124</v>
      </c>
      <c r="B103" s="149"/>
      <c r="C103" s="135">
        <f t="shared" ref="C103:H103" si="45">SUM(C104:C105)</f>
        <v>0</v>
      </c>
      <c r="D103" s="135">
        <f t="shared" si="45"/>
        <v>50000</v>
      </c>
      <c r="E103" s="135">
        <f t="shared" si="45"/>
        <v>100000</v>
      </c>
      <c r="F103" s="135">
        <f t="shared" si="45"/>
        <v>0</v>
      </c>
      <c r="G103" s="136">
        <f t="shared" si="45"/>
        <v>0</v>
      </c>
      <c r="H103" s="136">
        <f t="shared" si="45"/>
        <v>0</v>
      </c>
    </row>
    <row r="104" spans="1:8">
      <c r="A104" s="137" t="s">
        <v>104</v>
      </c>
      <c r="B104" s="149"/>
      <c r="C104" s="150">
        <v>0</v>
      </c>
      <c r="D104" s="150"/>
      <c r="E104" s="150"/>
      <c r="F104" s="150"/>
      <c r="G104" s="150"/>
      <c r="H104" s="150"/>
    </row>
    <row r="105" spans="1:8">
      <c r="A105" s="137" t="s">
        <v>105</v>
      </c>
      <c r="B105" s="149"/>
      <c r="C105" s="154">
        <v>0</v>
      </c>
      <c r="D105" s="150">
        <v>50000</v>
      </c>
      <c r="E105" s="150">
        <v>100000</v>
      </c>
      <c r="F105" s="150"/>
      <c r="G105" s="150"/>
      <c r="H105" s="150"/>
    </row>
    <row r="106" spans="1:8">
      <c r="A106" s="153" t="s">
        <v>125</v>
      </c>
      <c r="B106" s="149"/>
      <c r="C106" s="135">
        <f t="shared" ref="C106:H106" si="46">SUM(C107:C108)</f>
        <v>23000</v>
      </c>
      <c r="D106" s="135">
        <f t="shared" si="46"/>
        <v>43480</v>
      </c>
      <c r="E106" s="135">
        <f t="shared" si="46"/>
        <v>500000</v>
      </c>
      <c r="F106" s="135">
        <f t="shared" si="46"/>
        <v>500000</v>
      </c>
      <c r="G106" s="136">
        <f t="shared" si="46"/>
        <v>0</v>
      </c>
      <c r="H106" s="136">
        <f t="shared" si="46"/>
        <v>0</v>
      </c>
    </row>
    <row r="107" spans="1:8">
      <c r="A107" s="137" t="s">
        <v>104</v>
      </c>
      <c r="B107" s="149"/>
      <c r="C107" s="150">
        <v>0</v>
      </c>
      <c r="D107" s="150"/>
      <c r="E107" s="150">
        <v>375000</v>
      </c>
      <c r="F107" s="150">
        <v>375000</v>
      </c>
      <c r="G107" s="150"/>
      <c r="H107" s="150"/>
    </row>
    <row r="108" spans="1:8">
      <c r="A108" s="137" t="s">
        <v>105</v>
      </c>
      <c r="B108" s="149"/>
      <c r="C108" s="150">
        <v>23000</v>
      </c>
      <c r="D108" s="150">
        <v>43480</v>
      </c>
      <c r="E108" s="150">
        <v>125000</v>
      </c>
      <c r="F108" s="150">
        <v>125000</v>
      </c>
      <c r="G108" s="150"/>
      <c r="H108" s="150"/>
    </row>
    <row r="109" spans="1:8" ht="27">
      <c r="A109" s="155" t="s">
        <v>126</v>
      </c>
      <c r="B109" s="149"/>
      <c r="C109" s="135">
        <f t="shared" ref="C109:H109" si="47">SUM(C110:C111)</f>
        <v>368939</v>
      </c>
      <c r="D109" s="135">
        <f t="shared" si="47"/>
        <v>0</v>
      </c>
      <c r="E109" s="135">
        <f t="shared" si="47"/>
        <v>0</v>
      </c>
      <c r="F109" s="135">
        <f t="shared" si="47"/>
        <v>0</v>
      </c>
      <c r="G109" s="136">
        <f t="shared" si="47"/>
        <v>0</v>
      </c>
      <c r="H109" s="136">
        <f t="shared" si="47"/>
        <v>0</v>
      </c>
    </row>
    <row r="110" spans="1:8">
      <c r="A110" s="137" t="s">
        <v>104</v>
      </c>
      <c r="B110" s="149"/>
      <c r="C110" s="150">
        <f>238259-49058</f>
        <v>189201</v>
      </c>
      <c r="D110" s="150"/>
      <c r="E110" s="150"/>
      <c r="F110" s="150"/>
      <c r="G110" s="150"/>
      <c r="H110" s="150"/>
    </row>
    <row r="111" spans="1:8">
      <c r="A111" s="137" t="s">
        <v>105</v>
      </c>
      <c r="B111" s="149"/>
      <c r="C111" s="150">
        <v>179738</v>
      </c>
      <c r="D111" s="150"/>
      <c r="E111" s="150"/>
      <c r="F111" s="150"/>
      <c r="G111" s="150"/>
      <c r="H111" s="150"/>
    </row>
    <row r="112" spans="1:8" ht="40.200000000000003">
      <c r="A112" s="155" t="s">
        <v>127</v>
      </c>
      <c r="B112" s="149"/>
      <c r="C112" s="135">
        <f t="shared" ref="C112:H112" si="48">SUM(C113:C114)</f>
        <v>4406</v>
      </c>
      <c r="D112" s="135">
        <f t="shared" si="48"/>
        <v>0</v>
      </c>
      <c r="E112" s="135">
        <f t="shared" si="48"/>
        <v>0</v>
      </c>
      <c r="F112" s="135">
        <f t="shared" si="48"/>
        <v>0</v>
      </c>
      <c r="G112" s="136">
        <f t="shared" si="48"/>
        <v>0</v>
      </c>
      <c r="H112" s="136">
        <f t="shared" si="48"/>
        <v>0</v>
      </c>
    </row>
    <row r="113" spans="1:8">
      <c r="A113" s="137" t="s">
        <v>104</v>
      </c>
      <c r="B113" s="149"/>
      <c r="C113" s="150">
        <v>0</v>
      </c>
      <c r="D113" s="150"/>
      <c r="E113" s="150"/>
      <c r="F113" s="150"/>
      <c r="G113" s="150"/>
      <c r="H113" s="150"/>
    </row>
    <row r="114" spans="1:8">
      <c r="A114" s="137" t="s">
        <v>105</v>
      </c>
      <c r="B114" s="149"/>
      <c r="C114" s="154">
        <v>4406</v>
      </c>
      <c r="D114" s="154">
        <v>0</v>
      </c>
      <c r="E114" s="154">
        <v>0</v>
      </c>
      <c r="F114" s="154"/>
      <c r="G114" s="154"/>
      <c r="H114" s="154"/>
    </row>
    <row r="115" spans="1:8">
      <c r="A115" s="153" t="s">
        <v>128</v>
      </c>
      <c r="B115" s="149"/>
      <c r="C115" s="135">
        <f t="shared" ref="C115:H115" si="49">SUM(C116:C117)</f>
        <v>39463</v>
      </c>
      <c r="D115" s="135">
        <f t="shared" si="49"/>
        <v>0</v>
      </c>
      <c r="E115" s="135">
        <f t="shared" si="49"/>
        <v>0</v>
      </c>
      <c r="F115" s="135">
        <f t="shared" si="49"/>
        <v>0</v>
      </c>
      <c r="G115" s="136">
        <f t="shared" si="49"/>
        <v>0</v>
      </c>
      <c r="H115" s="136">
        <f t="shared" si="49"/>
        <v>0</v>
      </c>
    </row>
    <row r="116" spans="1:8">
      <c r="A116" s="137" t="s">
        <v>104</v>
      </c>
      <c r="B116" s="149"/>
      <c r="C116" s="150">
        <v>0</v>
      </c>
      <c r="D116" s="150"/>
      <c r="E116" s="150"/>
      <c r="F116" s="150"/>
      <c r="G116" s="150"/>
      <c r="H116" s="150"/>
    </row>
    <row r="117" spans="1:8">
      <c r="A117" s="137" t="s">
        <v>105</v>
      </c>
      <c r="B117" s="149"/>
      <c r="C117" s="150">
        <v>39463</v>
      </c>
      <c r="D117" s="154">
        <v>0</v>
      </c>
      <c r="E117" s="154">
        <v>0</v>
      </c>
      <c r="F117" s="154">
        <v>0</v>
      </c>
      <c r="G117" s="154">
        <v>0</v>
      </c>
      <c r="H117" s="154">
        <v>0</v>
      </c>
    </row>
    <row r="118" spans="1:8">
      <c r="A118" s="153" t="s">
        <v>129</v>
      </c>
      <c r="B118" s="149"/>
      <c r="C118" s="135">
        <f t="shared" ref="C118:H118" si="50">SUM(C119:C120)</f>
        <v>0</v>
      </c>
      <c r="D118" s="135">
        <f t="shared" si="50"/>
        <v>13200</v>
      </c>
      <c r="E118" s="135">
        <f t="shared" si="50"/>
        <v>0</v>
      </c>
      <c r="F118" s="135">
        <f t="shared" si="50"/>
        <v>0</v>
      </c>
      <c r="G118" s="136">
        <f t="shared" si="50"/>
        <v>0</v>
      </c>
      <c r="H118" s="136">
        <f t="shared" si="50"/>
        <v>0</v>
      </c>
    </row>
    <row r="119" spans="1:8">
      <c r="A119" s="137" t="s">
        <v>104</v>
      </c>
      <c r="B119" s="149"/>
      <c r="C119" s="150"/>
      <c r="D119" s="150"/>
      <c r="E119" s="150"/>
      <c r="F119" s="150"/>
      <c r="G119" s="150"/>
      <c r="H119" s="150"/>
    </row>
    <row r="120" spans="1:8">
      <c r="A120" s="137" t="s">
        <v>105</v>
      </c>
      <c r="B120" s="149"/>
      <c r="C120" s="150">
        <v>0</v>
      </c>
      <c r="D120" s="154">
        <v>13200</v>
      </c>
      <c r="E120" s="154"/>
      <c r="F120" s="154"/>
      <c r="G120" s="154"/>
      <c r="H120" s="154"/>
    </row>
    <row r="121" spans="1:8">
      <c r="A121" s="153" t="s">
        <v>130</v>
      </c>
      <c r="B121" s="149"/>
      <c r="C121" s="135">
        <f t="shared" ref="C121:H121" si="51">SUM(C122:C123)</f>
        <v>0</v>
      </c>
      <c r="D121" s="135">
        <f t="shared" si="51"/>
        <v>13100</v>
      </c>
      <c r="E121" s="135">
        <f t="shared" si="51"/>
        <v>0</v>
      </c>
      <c r="F121" s="135">
        <f t="shared" si="51"/>
        <v>0</v>
      </c>
      <c r="G121" s="136">
        <f t="shared" si="51"/>
        <v>0</v>
      </c>
      <c r="H121" s="136">
        <f t="shared" si="51"/>
        <v>0</v>
      </c>
    </row>
    <row r="122" spans="1:8">
      <c r="A122" s="137" t="s">
        <v>104</v>
      </c>
      <c r="B122" s="149"/>
      <c r="C122" s="150"/>
      <c r="D122" s="150"/>
      <c r="E122" s="150"/>
      <c r="F122" s="150"/>
      <c r="G122" s="150"/>
      <c r="H122" s="150"/>
    </row>
    <row r="123" spans="1:8">
      <c r="A123" s="137" t="s">
        <v>105</v>
      </c>
      <c r="B123" s="149"/>
      <c r="C123" s="150">
        <v>0</v>
      </c>
      <c r="D123" s="154">
        <v>13100</v>
      </c>
      <c r="E123" s="154"/>
      <c r="F123" s="154"/>
      <c r="G123" s="154"/>
      <c r="H123" s="154"/>
    </row>
    <row r="124" spans="1:8">
      <c r="A124" s="153" t="s">
        <v>131</v>
      </c>
      <c r="B124" s="149"/>
      <c r="C124" s="135">
        <f t="shared" ref="C124:H124" si="52">SUM(C125:C126)</f>
        <v>158880</v>
      </c>
      <c r="D124" s="135">
        <f t="shared" si="52"/>
        <v>0</v>
      </c>
      <c r="E124" s="135">
        <f t="shared" si="52"/>
        <v>0</v>
      </c>
      <c r="F124" s="135">
        <f t="shared" si="52"/>
        <v>0</v>
      </c>
      <c r="G124" s="136">
        <f t="shared" si="52"/>
        <v>0</v>
      </c>
      <c r="H124" s="136">
        <f t="shared" si="52"/>
        <v>0</v>
      </c>
    </row>
    <row r="125" spans="1:8">
      <c r="A125" s="137" t="s">
        <v>104</v>
      </c>
      <c r="B125" s="149"/>
      <c r="C125" s="150"/>
      <c r="D125" s="150"/>
      <c r="E125" s="150"/>
      <c r="F125" s="150"/>
      <c r="G125" s="150"/>
      <c r="H125" s="150"/>
    </row>
    <row r="126" spans="1:8">
      <c r="A126" s="137" t="s">
        <v>105</v>
      </c>
      <c r="B126" s="149"/>
      <c r="C126" s="150">
        <v>158880</v>
      </c>
      <c r="D126" s="150"/>
      <c r="E126" s="150"/>
      <c r="F126" s="150"/>
      <c r="G126" s="150"/>
      <c r="H126" s="150"/>
    </row>
    <row r="127" spans="1:8">
      <c r="A127" s="153" t="s">
        <v>132</v>
      </c>
      <c r="B127" s="149"/>
      <c r="C127" s="135">
        <f t="shared" ref="C127:H127" si="53">SUM(C128:C129)</f>
        <v>0</v>
      </c>
      <c r="D127" s="135">
        <f t="shared" si="53"/>
        <v>0</v>
      </c>
      <c r="E127" s="135">
        <f t="shared" si="53"/>
        <v>200000</v>
      </c>
      <c r="F127" s="135">
        <f t="shared" si="53"/>
        <v>200000</v>
      </c>
      <c r="G127" s="136">
        <f t="shared" si="53"/>
        <v>200000</v>
      </c>
      <c r="H127" s="136">
        <f t="shared" si="53"/>
        <v>200000</v>
      </c>
    </row>
    <row r="128" spans="1:8">
      <c r="A128" s="137" t="s">
        <v>104</v>
      </c>
      <c r="B128" s="149"/>
      <c r="C128" s="150"/>
      <c r="D128" s="150">
        <v>0</v>
      </c>
      <c r="E128" s="150"/>
      <c r="F128" s="150"/>
      <c r="G128" s="150"/>
      <c r="H128" s="150"/>
    </row>
    <row r="129" spans="1:8">
      <c r="A129" s="137" t="s">
        <v>105</v>
      </c>
      <c r="B129" s="149"/>
      <c r="C129" s="150">
        <v>0</v>
      </c>
      <c r="D129" s="154">
        <v>0</v>
      </c>
      <c r="E129" s="154">
        <v>200000</v>
      </c>
      <c r="F129" s="154">
        <v>200000</v>
      </c>
      <c r="G129" s="154">
        <v>200000</v>
      </c>
      <c r="H129" s="154">
        <v>200000</v>
      </c>
    </row>
    <row r="130" spans="1:8" ht="27">
      <c r="A130" s="153" t="s">
        <v>133</v>
      </c>
      <c r="B130" s="149"/>
      <c r="C130" s="135">
        <f t="shared" ref="C130:H130" si="54">SUM(C131:C132)</f>
        <v>0</v>
      </c>
      <c r="D130" s="135">
        <f t="shared" si="54"/>
        <v>7230</v>
      </c>
      <c r="E130" s="135">
        <f t="shared" si="54"/>
        <v>1750000</v>
      </c>
      <c r="F130" s="135">
        <f t="shared" si="54"/>
        <v>1750000</v>
      </c>
      <c r="G130" s="136">
        <f t="shared" si="54"/>
        <v>0</v>
      </c>
      <c r="H130" s="136">
        <f t="shared" si="54"/>
        <v>0</v>
      </c>
    </row>
    <row r="131" spans="1:8">
      <c r="A131" s="137" t="s">
        <v>104</v>
      </c>
      <c r="B131" s="149"/>
      <c r="C131" s="150"/>
      <c r="D131" s="150">
        <v>0</v>
      </c>
      <c r="E131" s="150">
        <v>750000</v>
      </c>
      <c r="F131" s="150">
        <v>750000</v>
      </c>
      <c r="G131" s="150"/>
      <c r="H131" s="150"/>
    </row>
    <row r="132" spans="1:8">
      <c r="A132" s="137" t="s">
        <v>105</v>
      </c>
      <c r="B132" s="149"/>
      <c r="C132" s="150">
        <v>0</v>
      </c>
      <c r="D132" s="154">
        <v>7230</v>
      </c>
      <c r="E132" s="154">
        <v>1000000</v>
      </c>
      <c r="F132" s="154">
        <v>1000000</v>
      </c>
      <c r="G132" s="154"/>
      <c r="H132" s="154"/>
    </row>
    <row r="133" spans="1:8">
      <c r="A133" s="153" t="s">
        <v>134</v>
      </c>
      <c r="B133" s="149"/>
      <c r="C133" s="135">
        <f t="shared" ref="C133:H133" si="55">SUM(C134:C135)</f>
        <v>0</v>
      </c>
      <c r="D133" s="135">
        <f t="shared" si="55"/>
        <v>30000</v>
      </c>
      <c r="E133" s="135">
        <f t="shared" si="55"/>
        <v>150000</v>
      </c>
      <c r="F133" s="135">
        <f t="shared" si="55"/>
        <v>200000</v>
      </c>
      <c r="G133" s="136">
        <f t="shared" si="55"/>
        <v>0</v>
      </c>
      <c r="H133" s="136">
        <f t="shared" si="55"/>
        <v>0</v>
      </c>
    </row>
    <row r="134" spans="1:8">
      <c r="A134" s="137" t="s">
        <v>104</v>
      </c>
      <c r="B134" s="149"/>
      <c r="C134" s="150"/>
      <c r="D134" s="150">
        <v>0</v>
      </c>
      <c r="E134" s="150">
        <v>50000</v>
      </c>
      <c r="F134" s="150"/>
      <c r="G134" s="150"/>
      <c r="H134" s="150"/>
    </row>
    <row r="135" spans="1:8">
      <c r="A135" s="137" t="s">
        <v>105</v>
      </c>
      <c r="B135" s="149"/>
      <c r="C135" s="150">
        <v>0</v>
      </c>
      <c r="D135" s="154">
        <v>30000</v>
      </c>
      <c r="E135" s="154">
        <v>100000</v>
      </c>
      <c r="F135" s="154">
        <v>200000</v>
      </c>
      <c r="G135" s="154"/>
      <c r="H135" s="154"/>
    </row>
    <row r="136" spans="1:8">
      <c r="A136" s="153" t="s">
        <v>135</v>
      </c>
      <c r="B136" s="149"/>
      <c r="C136" s="135">
        <f t="shared" ref="C136:H136" si="56">SUM(C137:C138)</f>
        <v>839</v>
      </c>
      <c r="D136" s="135">
        <f t="shared" si="56"/>
        <v>90133.6</v>
      </c>
      <c r="E136" s="135">
        <f t="shared" si="56"/>
        <v>0</v>
      </c>
      <c r="F136" s="135">
        <f t="shared" si="56"/>
        <v>0</v>
      </c>
      <c r="G136" s="136">
        <f t="shared" si="56"/>
        <v>0</v>
      </c>
      <c r="H136" s="136">
        <f t="shared" si="56"/>
        <v>0</v>
      </c>
    </row>
    <row r="137" spans="1:8">
      <c r="A137" s="137" t="s">
        <v>104</v>
      </c>
      <c r="B137" s="149"/>
      <c r="C137" s="150"/>
      <c r="D137" s="150">
        <v>53451.6</v>
      </c>
      <c r="E137" s="150"/>
      <c r="F137" s="150"/>
      <c r="G137" s="150"/>
      <c r="H137" s="150"/>
    </row>
    <row r="138" spans="1:8">
      <c r="A138" s="137" t="s">
        <v>105</v>
      </c>
      <c r="B138" s="149"/>
      <c r="C138" s="150">
        <v>839</v>
      </c>
      <c r="D138" s="154">
        <f>36592+90</f>
        <v>36682</v>
      </c>
      <c r="E138" s="154"/>
      <c r="F138" s="154"/>
      <c r="G138" s="154"/>
      <c r="H138" s="154"/>
    </row>
    <row r="139" spans="1:8" ht="27">
      <c r="A139" s="153" t="s">
        <v>136</v>
      </c>
      <c r="B139" s="149"/>
      <c r="C139" s="135">
        <f t="shared" ref="C139:H139" si="57">SUM(C140:C141)</f>
        <v>0</v>
      </c>
      <c r="D139" s="135">
        <f t="shared" si="57"/>
        <v>31035</v>
      </c>
      <c r="E139" s="135">
        <f t="shared" si="57"/>
        <v>0</v>
      </c>
      <c r="F139" s="135">
        <f t="shared" si="57"/>
        <v>0</v>
      </c>
      <c r="G139" s="136">
        <f t="shared" si="57"/>
        <v>0</v>
      </c>
      <c r="H139" s="136">
        <f t="shared" si="57"/>
        <v>0</v>
      </c>
    </row>
    <row r="140" spans="1:8">
      <c r="A140" s="137" t="s">
        <v>104</v>
      </c>
      <c r="B140" s="149"/>
      <c r="C140" s="150"/>
      <c r="D140" s="150"/>
      <c r="E140" s="150"/>
      <c r="F140" s="150"/>
      <c r="G140" s="150"/>
      <c r="H140" s="150"/>
    </row>
    <row r="141" spans="1:8">
      <c r="A141" s="137" t="s">
        <v>105</v>
      </c>
      <c r="B141" s="149"/>
      <c r="C141" s="150">
        <v>0</v>
      </c>
      <c r="D141" s="154">
        <v>31035</v>
      </c>
      <c r="E141" s="154"/>
      <c r="F141" s="154"/>
      <c r="G141" s="154"/>
      <c r="H141" s="154"/>
    </row>
    <row r="142" spans="1:8">
      <c r="A142" s="153" t="s">
        <v>137</v>
      </c>
      <c r="B142" s="149"/>
      <c r="C142" s="135">
        <f t="shared" ref="C142:H142" si="58">SUM(C143:C144)</f>
        <v>49664</v>
      </c>
      <c r="D142" s="135">
        <f t="shared" si="58"/>
        <v>0</v>
      </c>
      <c r="E142" s="135">
        <f t="shared" si="58"/>
        <v>0</v>
      </c>
      <c r="F142" s="135">
        <f t="shared" si="58"/>
        <v>0</v>
      </c>
      <c r="G142" s="136">
        <f t="shared" si="58"/>
        <v>0</v>
      </c>
      <c r="H142" s="136">
        <f t="shared" si="58"/>
        <v>0</v>
      </c>
    </row>
    <row r="143" spans="1:8">
      <c r="A143" s="137" t="s">
        <v>104</v>
      </c>
      <c r="B143" s="149"/>
      <c r="C143" s="150"/>
      <c r="D143" s="150"/>
      <c r="E143" s="150"/>
      <c r="F143" s="150"/>
      <c r="G143" s="150"/>
      <c r="H143" s="150"/>
    </row>
    <row r="144" spans="1:8">
      <c r="A144" s="137" t="s">
        <v>105</v>
      </c>
      <c r="B144" s="149"/>
      <c r="C144" s="150">
        <v>49664</v>
      </c>
      <c r="D144" s="154">
        <v>0</v>
      </c>
      <c r="E144" s="154"/>
      <c r="F144" s="154"/>
      <c r="G144" s="154"/>
      <c r="H144" s="154"/>
    </row>
    <row r="145" spans="1:8">
      <c r="A145" s="153" t="s">
        <v>138</v>
      </c>
      <c r="B145" s="149"/>
      <c r="C145" s="135">
        <f t="shared" ref="C145:H145" si="59">SUM(C146:C147)</f>
        <v>0</v>
      </c>
      <c r="D145" s="135">
        <f t="shared" si="59"/>
        <v>12200</v>
      </c>
      <c r="E145" s="135">
        <f t="shared" si="59"/>
        <v>0</v>
      </c>
      <c r="F145" s="135">
        <f t="shared" si="59"/>
        <v>0</v>
      </c>
      <c r="G145" s="136">
        <f t="shared" si="59"/>
        <v>0</v>
      </c>
      <c r="H145" s="136">
        <f t="shared" si="59"/>
        <v>0</v>
      </c>
    </row>
    <row r="146" spans="1:8">
      <c r="A146" s="137" t="s">
        <v>104</v>
      </c>
      <c r="B146" s="149"/>
      <c r="C146" s="150"/>
      <c r="D146" s="150"/>
      <c r="E146" s="150"/>
      <c r="F146" s="150"/>
      <c r="G146" s="150"/>
      <c r="H146" s="150"/>
    </row>
    <row r="147" spans="1:8">
      <c r="A147" s="137" t="s">
        <v>105</v>
      </c>
      <c r="B147" s="149"/>
      <c r="C147" s="150"/>
      <c r="D147" s="154">
        <v>12200</v>
      </c>
      <c r="E147" s="154"/>
      <c r="F147" s="154"/>
      <c r="G147" s="154"/>
      <c r="H147" s="154"/>
    </row>
    <row r="148" spans="1:8" ht="27">
      <c r="A148" s="153" t="s">
        <v>139</v>
      </c>
      <c r="B148" s="149"/>
      <c r="C148" s="135">
        <f t="shared" ref="C148:H148" si="60">SUM(C149:C150)</f>
        <v>58698</v>
      </c>
      <c r="D148" s="135">
        <f t="shared" si="60"/>
        <v>6200</v>
      </c>
      <c r="E148" s="135">
        <f t="shared" si="60"/>
        <v>0</v>
      </c>
      <c r="F148" s="135">
        <f t="shared" si="60"/>
        <v>0</v>
      </c>
      <c r="G148" s="136">
        <f t="shared" si="60"/>
        <v>0</v>
      </c>
      <c r="H148" s="136">
        <f t="shared" si="60"/>
        <v>0</v>
      </c>
    </row>
    <row r="149" spans="1:8">
      <c r="A149" s="137" t="s">
        <v>104</v>
      </c>
      <c r="B149" s="149"/>
      <c r="C149" s="150"/>
      <c r="D149" s="150"/>
      <c r="E149" s="150"/>
      <c r="F149" s="150"/>
      <c r="G149" s="150"/>
      <c r="H149" s="150"/>
    </row>
    <row r="150" spans="1:8">
      <c r="A150" s="137" t="s">
        <v>105</v>
      </c>
      <c r="B150" s="149"/>
      <c r="C150" s="150">
        <v>58698</v>
      </c>
      <c r="D150" s="150">
        <v>6200</v>
      </c>
      <c r="E150" s="150"/>
      <c r="F150" s="150"/>
      <c r="G150" s="150"/>
      <c r="H150" s="150"/>
    </row>
    <row r="151" spans="1:8">
      <c r="A151" s="153" t="s">
        <v>140</v>
      </c>
      <c r="B151" s="149"/>
      <c r="C151" s="135">
        <f t="shared" ref="C151:H151" si="61">SUM(C152:C153)</f>
        <v>0</v>
      </c>
      <c r="D151" s="135">
        <f t="shared" si="61"/>
        <v>16650</v>
      </c>
      <c r="E151" s="135">
        <f t="shared" si="61"/>
        <v>0</v>
      </c>
      <c r="F151" s="135">
        <f t="shared" si="61"/>
        <v>0</v>
      </c>
      <c r="G151" s="136">
        <f t="shared" si="61"/>
        <v>0</v>
      </c>
      <c r="H151" s="136">
        <f t="shared" si="61"/>
        <v>0</v>
      </c>
    </row>
    <row r="152" spans="1:8">
      <c r="A152" s="137" t="s">
        <v>104</v>
      </c>
      <c r="B152" s="149"/>
      <c r="C152" s="150"/>
      <c r="D152" s="154">
        <v>12488</v>
      </c>
      <c r="E152" s="154"/>
      <c r="F152" s="154"/>
      <c r="G152" s="154"/>
      <c r="H152" s="154"/>
    </row>
    <row r="153" spans="1:8">
      <c r="A153" s="137" t="s">
        <v>105</v>
      </c>
      <c r="B153" s="149"/>
      <c r="C153" s="150">
        <v>0</v>
      </c>
      <c r="D153" s="154">
        <v>4162</v>
      </c>
      <c r="E153" s="154"/>
      <c r="F153" s="154"/>
      <c r="G153" s="154"/>
      <c r="H153" s="154"/>
    </row>
    <row r="154" spans="1:8">
      <c r="A154" s="153" t="s">
        <v>141</v>
      </c>
      <c r="B154" s="149"/>
      <c r="C154" s="135">
        <f t="shared" ref="C154:H154" si="62">SUM(C155:C156)</f>
        <v>22775</v>
      </c>
      <c r="D154" s="135">
        <f t="shared" si="62"/>
        <v>0</v>
      </c>
      <c r="E154" s="135">
        <f t="shared" si="62"/>
        <v>0</v>
      </c>
      <c r="F154" s="135">
        <f t="shared" si="62"/>
        <v>0</v>
      </c>
      <c r="G154" s="136">
        <f t="shared" si="62"/>
        <v>0</v>
      </c>
      <c r="H154" s="136">
        <f t="shared" si="62"/>
        <v>0</v>
      </c>
    </row>
    <row r="155" spans="1:8">
      <c r="A155" s="137" t="s">
        <v>104</v>
      </c>
      <c r="B155" s="149"/>
      <c r="C155" s="150"/>
      <c r="D155" s="150"/>
      <c r="E155" s="150"/>
      <c r="F155" s="150"/>
      <c r="G155" s="150"/>
      <c r="H155" s="150"/>
    </row>
    <row r="156" spans="1:8">
      <c r="A156" s="137" t="s">
        <v>105</v>
      </c>
      <c r="B156" s="149"/>
      <c r="C156" s="150">
        <v>22775</v>
      </c>
      <c r="D156" s="150"/>
      <c r="E156" s="150"/>
      <c r="F156" s="150"/>
      <c r="G156" s="150"/>
      <c r="H156" s="150"/>
    </row>
    <row r="157" spans="1:8">
      <c r="A157" s="153" t="s">
        <v>142</v>
      </c>
      <c r="B157" s="149"/>
      <c r="C157" s="135">
        <f t="shared" ref="C157:H157" si="63">SUM(C158:C159)</f>
        <v>0</v>
      </c>
      <c r="D157" s="135">
        <f t="shared" si="63"/>
        <v>15601</v>
      </c>
      <c r="E157" s="135">
        <f t="shared" si="63"/>
        <v>0</v>
      </c>
      <c r="F157" s="135">
        <f t="shared" si="63"/>
        <v>0</v>
      </c>
      <c r="G157" s="136">
        <f t="shared" si="63"/>
        <v>0</v>
      </c>
      <c r="H157" s="136">
        <f t="shared" si="63"/>
        <v>0</v>
      </c>
    </row>
    <row r="158" spans="1:8">
      <c r="A158" s="137" t="s">
        <v>104</v>
      </c>
      <c r="B158" s="149"/>
      <c r="C158" s="150"/>
      <c r="D158" s="150"/>
      <c r="E158" s="150"/>
      <c r="F158" s="150"/>
      <c r="G158" s="150"/>
      <c r="H158" s="150"/>
    </row>
    <row r="159" spans="1:8">
      <c r="A159" s="137" t="s">
        <v>105</v>
      </c>
      <c r="B159" s="149"/>
      <c r="C159" s="150">
        <v>0</v>
      </c>
      <c r="D159" s="154">
        <v>15601</v>
      </c>
      <c r="E159" s="154"/>
      <c r="F159" s="154"/>
      <c r="G159" s="154"/>
      <c r="H159" s="154"/>
    </row>
    <row r="160" spans="1:8" ht="27">
      <c r="A160" s="153" t="s">
        <v>143</v>
      </c>
      <c r="B160" s="149"/>
      <c r="C160" s="135">
        <f t="shared" ref="C160:H160" si="64">SUM(C161:C162)</f>
        <v>37600</v>
      </c>
      <c r="D160" s="135">
        <f t="shared" si="64"/>
        <v>0</v>
      </c>
      <c r="E160" s="135">
        <f t="shared" si="64"/>
        <v>0</v>
      </c>
      <c r="F160" s="135">
        <f t="shared" si="64"/>
        <v>0</v>
      </c>
      <c r="G160" s="136">
        <f t="shared" si="64"/>
        <v>0</v>
      </c>
      <c r="H160" s="136">
        <f t="shared" si="64"/>
        <v>0</v>
      </c>
    </row>
    <row r="161" spans="1:8">
      <c r="A161" s="137" t="s">
        <v>104</v>
      </c>
      <c r="B161" s="149"/>
      <c r="C161" s="150"/>
      <c r="D161" s="150"/>
      <c r="E161" s="150"/>
      <c r="F161" s="150"/>
      <c r="G161" s="150"/>
      <c r="H161" s="150"/>
    </row>
    <row r="162" spans="1:8">
      <c r="A162" s="137" t="s">
        <v>105</v>
      </c>
      <c r="B162" s="149"/>
      <c r="C162" s="150">
        <v>37600</v>
      </c>
      <c r="D162" s="150"/>
      <c r="E162" s="150"/>
      <c r="F162" s="150"/>
      <c r="G162" s="150"/>
      <c r="H162" s="150"/>
    </row>
    <row r="163" spans="1:8">
      <c r="A163" s="153" t="s">
        <v>144</v>
      </c>
      <c r="B163" s="149"/>
      <c r="C163" s="135">
        <f t="shared" ref="C163:H163" si="65">SUM(C164:C165)</f>
        <v>0</v>
      </c>
      <c r="D163" s="135">
        <f t="shared" si="65"/>
        <v>12200</v>
      </c>
      <c r="E163" s="135">
        <f t="shared" si="65"/>
        <v>0</v>
      </c>
      <c r="F163" s="135">
        <f t="shared" si="65"/>
        <v>0</v>
      </c>
      <c r="G163" s="136">
        <f t="shared" si="65"/>
        <v>0</v>
      </c>
      <c r="H163" s="136">
        <f t="shared" si="65"/>
        <v>0</v>
      </c>
    </row>
    <row r="164" spans="1:8">
      <c r="A164" s="137" t="s">
        <v>104</v>
      </c>
      <c r="B164" s="149"/>
      <c r="C164" s="150"/>
      <c r="D164" s="150"/>
      <c r="E164" s="150"/>
      <c r="F164" s="150"/>
      <c r="G164" s="150"/>
      <c r="H164" s="150"/>
    </row>
    <row r="165" spans="1:8">
      <c r="A165" s="137" t="s">
        <v>105</v>
      </c>
      <c r="B165" s="149"/>
      <c r="C165" s="150">
        <v>0</v>
      </c>
      <c r="D165" s="154">
        <v>12200</v>
      </c>
      <c r="E165" s="154"/>
      <c r="F165" s="154"/>
      <c r="G165" s="154"/>
      <c r="H165" s="154"/>
    </row>
    <row r="166" spans="1:8" ht="27">
      <c r="A166" s="153" t="s">
        <v>145</v>
      </c>
      <c r="B166" s="149"/>
      <c r="C166" s="135">
        <f t="shared" ref="C166:H166" si="66">SUM(C167:C168)</f>
        <v>25219</v>
      </c>
      <c r="D166" s="135">
        <f t="shared" si="66"/>
        <v>0</v>
      </c>
      <c r="E166" s="135">
        <f t="shared" si="66"/>
        <v>0</v>
      </c>
      <c r="F166" s="135">
        <f t="shared" si="66"/>
        <v>0</v>
      </c>
      <c r="G166" s="136">
        <f t="shared" si="66"/>
        <v>0</v>
      </c>
      <c r="H166" s="136">
        <f t="shared" si="66"/>
        <v>0</v>
      </c>
    </row>
    <row r="167" spans="1:8">
      <c r="A167" s="137" t="s">
        <v>104</v>
      </c>
      <c r="B167" s="149"/>
      <c r="C167" s="150"/>
      <c r="D167" s="150"/>
      <c r="E167" s="150"/>
      <c r="F167" s="150"/>
      <c r="G167" s="150"/>
      <c r="H167" s="150"/>
    </row>
    <row r="168" spans="1:8">
      <c r="A168" s="137" t="s">
        <v>105</v>
      </c>
      <c r="B168" s="149"/>
      <c r="C168" s="150">
        <v>25219</v>
      </c>
      <c r="D168" s="150"/>
      <c r="E168" s="150"/>
      <c r="F168" s="150"/>
      <c r="G168" s="150"/>
      <c r="H168" s="150"/>
    </row>
    <row r="169" spans="1:8">
      <c r="A169" s="153" t="s">
        <v>146</v>
      </c>
      <c r="B169" s="149"/>
      <c r="C169" s="135">
        <f t="shared" ref="C169:H169" si="67">SUM(C170:C171)</f>
        <v>0</v>
      </c>
      <c r="D169" s="135">
        <f t="shared" si="67"/>
        <v>16000</v>
      </c>
      <c r="E169" s="135">
        <f t="shared" si="67"/>
        <v>0</v>
      </c>
      <c r="F169" s="135">
        <f t="shared" si="67"/>
        <v>0</v>
      </c>
      <c r="G169" s="136">
        <f t="shared" si="67"/>
        <v>0</v>
      </c>
      <c r="H169" s="136">
        <f t="shared" si="67"/>
        <v>0</v>
      </c>
    </row>
    <row r="170" spans="1:8">
      <c r="A170" s="137" t="s">
        <v>104</v>
      </c>
      <c r="B170" s="149"/>
      <c r="C170" s="150"/>
      <c r="D170" s="150"/>
      <c r="E170" s="150"/>
      <c r="F170" s="150"/>
      <c r="G170" s="150"/>
      <c r="H170" s="150"/>
    </row>
    <row r="171" spans="1:8">
      <c r="A171" s="137" t="s">
        <v>105</v>
      </c>
      <c r="B171" s="149"/>
      <c r="C171" s="150">
        <v>0</v>
      </c>
      <c r="D171" s="154">
        <v>16000</v>
      </c>
      <c r="E171" s="154"/>
      <c r="F171" s="154"/>
      <c r="G171" s="154"/>
      <c r="H171" s="154"/>
    </row>
    <row r="172" spans="1:8" ht="27">
      <c r="A172" s="156" t="s">
        <v>147</v>
      </c>
      <c r="B172" s="149"/>
      <c r="C172" s="135">
        <f t="shared" ref="C172:H172" si="68">SUM(C173:C174)</f>
        <v>86999</v>
      </c>
      <c r="D172" s="135">
        <f t="shared" si="68"/>
        <v>0</v>
      </c>
      <c r="E172" s="135">
        <f t="shared" si="68"/>
        <v>0</v>
      </c>
      <c r="F172" s="135">
        <f t="shared" si="68"/>
        <v>0</v>
      </c>
      <c r="G172" s="136">
        <f t="shared" si="68"/>
        <v>0</v>
      </c>
      <c r="H172" s="136">
        <f t="shared" si="68"/>
        <v>0</v>
      </c>
    </row>
    <row r="173" spans="1:8">
      <c r="A173" s="137" t="s">
        <v>104</v>
      </c>
      <c r="B173" s="149"/>
      <c r="C173" s="150">
        <v>85640</v>
      </c>
      <c r="D173" s="150"/>
      <c r="E173" s="150"/>
      <c r="F173" s="150"/>
      <c r="G173" s="150"/>
      <c r="H173" s="150"/>
    </row>
    <row r="174" spans="1:8">
      <c r="A174" s="137" t="s">
        <v>105</v>
      </c>
      <c r="B174" s="149"/>
      <c r="C174" s="150">
        <v>1359</v>
      </c>
      <c r="D174" s="150"/>
      <c r="E174" s="150"/>
      <c r="F174" s="150"/>
      <c r="G174" s="150"/>
      <c r="H174" s="150"/>
    </row>
    <row r="175" spans="1:8">
      <c r="A175" s="156" t="s">
        <v>148</v>
      </c>
      <c r="B175" s="149"/>
      <c r="C175" s="135">
        <f t="shared" ref="C175:H175" si="69">SUM(C176:C177)</f>
        <v>0</v>
      </c>
      <c r="D175" s="135">
        <f t="shared" si="69"/>
        <v>15000</v>
      </c>
      <c r="E175" s="135">
        <f t="shared" si="69"/>
        <v>0</v>
      </c>
      <c r="F175" s="135">
        <f t="shared" si="69"/>
        <v>0</v>
      </c>
      <c r="G175" s="136">
        <f t="shared" si="69"/>
        <v>0</v>
      </c>
      <c r="H175" s="136">
        <f t="shared" si="69"/>
        <v>0</v>
      </c>
    </row>
    <row r="176" spans="1:8">
      <c r="A176" s="137" t="s">
        <v>104</v>
      </c>
      <c r="B176" s="149"/>
      <c r="C176" s="150"/>
      <c r="D176" s="150">
        <v>15000</v>
      </c>
      <c r="E176" s="150"/>
      <c r="F176" s="150"/>
      <c r="G176" s="150"/>
      <c r="H176" s="150"/>
    </row>
    <row r="177" spans="1:8">
      <c r="A177" s="137" t="s">
        <v>105</v>
      </c>
      <c r="B177" s="149"/>
      <c r="C177" s="150"/>
      <c r="D177" s="150"/>
      <c r="E177" s="150"/>
      <c r="F177" s="150"/>
      <c r="G177" s="150"/>
      <c r="H177" s="150"/>
    </row>
    <row r="178" spans="1:8" s="141" customFormat="1" ht="13.2">
      <c r="A178" s="138" t="s">
        <v>117</v>
      </c>
      <c r="B178" s="139"/>
      <c r="C178" s="139">
        <f t="shared" ref="C178:H178" si="70">SUM(C179:C180)</f>
        <v>1768482</v>
      </c>
      <c r="D178" s="139">
        <f t="shared" si="70"/>
        <v>947474.6</v>
      </c>
      <c r="E178" s="139">
        <f t="shared" si="70"/>
        <v>3400000</v>
      </c>
      <c r="F178" s="139">
        <f t="shared" si="70"/>
        <v>3350000</v>
      </c>
      <c r="G178" s="140">
        <f t="shared" si="70"/>
        <v>700000</v>
      </c>
      <c r="H178" s="140">
        <f t="shared" si="70"/>
        <v>700000</v>
      </c>
    </row>
    <row r="179" spans="1:8" s="94" customFormat="1" ht="21.6">
      <c r="A179" s="142" t="s">
        <v>104</v>
      </c>
      <c r="B179" s="58"/>
      <c r="C179" s="58">
        <f>+C95+C98+C101+C104+C107+C110+C113+C116+C119+C122+C125+C137+C149+C146+C152+C155+C140+C143+C164+C161+C170+C167+C173</f>
        <v>403161</v>
      </c>
      <c r="D179" s="58">
        <f>+D95+D98+D101+D104+D107+D110+D113+D116+D119+D122+D125+D137+D149+D146+D152+D155+D140+D143+D164+D161+D170+D167+D173+D176+D158+D134+D131+D128</f>
        <v>80939.600000000006</v>
      </c>
      <c r="E179" s="58">
        <f>+E95+E98+E101+E104+E107+E110+E113+E116+E119+E122+E125+E128+E131+E134+E137+E149+E146+E152+E155+E140+E143+E164+E161+E170+E167+E173</f>
        <v>1325000</v>
      </c>
      <c r="F179" s="58">
        <f>+F95+F98+F101+F104+F107+F110+F113+F116+F119+F122+F125+F128+F131+F134+F137+F149+F146+F152+F155+F140+F143+F164+F161+F170+F167+F173</f>
        <v>1275000</v>
      </c>
      <c r="G179" s="58">
        <f>+G95+G98+G101+G104+G107+G110+G113+G116+G119+G122+G125+G128+G131+G134+G137+G149+G146+G152+G155+G140+G143+G164+G161+G170+G167+G173</f>
        <v>0</v>
      </c>
      <c r="H179" s="58">
        <f>+H95+H98+H101+H104+H107+H110+H113+H116+H119+H122+H125+H128+H131+H134+H137+H149+H146+H152+H155+H140+H143+H164+H161+H170+H167+H173</f>
        <v>0</v>
      </c>
    </row>
    <row r="180" spans="1:8" s="94" customFormat="1" ht="15" thickBot="1">
      <c r="A180" s="143" t="s">
        <v>105</v>
      </c>
      <c r="B180" s="144"/>
      <c r="C180" s="144">
        <f>C96+C99+C102+C105+C108+C111+C114+C117+C120+C123+C126+C138+C141+C144+C147+C150+C153+C156+C159+C162+C165+C168+C171+C174</f>
        <v>1365321</v>
      </c>
      <c r="D180" s="144">
        <f>D96+D99+D102+D105+D108+D111+D114+D117+D120+D123+D126+D138+D141+D144+D147+D150+D153+D156+D159+D162+D165+D168+D171+D174+D177+D135+D132+D129</f>
        <v>866535</v>
      </c>
      <c r="E180" s="144">
        <f>E96+E99+E102+E105+E108+E111+E114+E117+E120+E123+E126+E129+E132+E135+E138+E141+E144+E147+E150+E153+E156+E159+E162+E165+E168+E171+E174</f>
        <v>2075000</v>
      </c>
      <c r="F180" s="144">
        <f>F96+F99+F102+F105+F108+F111+F114+F117+F120+F123+F126+F129+F132+F135+F138+F141+F144+F147+F150+F153+F156+F159+F162+F165+F168+F171+F174</f>
        <v>2075000</v>
      </c>
      <c r="G180" s="144">
        <f>G96+G99+G102+G105+G108+G111+G114+G117+G120+G123+G126+G129+G132+G135+G138+G141+G144+G147+G150+G153+G156+G159+G162+G165+G168+G171+G174</f>
        <v>700000</v>
      </c>
      <c r="H180" s="144">
        <f>H96+H99+H102+H105+H108+H111+H114+H117+H120+H123+H126+H129+H132+H135+H138+H141+H144+H147+H150+H153+H156+H159+H162+H165+H168+H171+H174</f>
        <v>700000</v>
      </c>
    </row>
    <row r="181" spans="1:8" hidden="1">
      <c r="C181" s="40">
        <f t="shared" ref="C181:H181" si="71">C88-C178</f>
        <v>0</v>
      </c>
      <c r="D181" s="40">
        <f t="shared" si="71"/>
        <v>0</v>
      </c>
      <c r="E181" s="40">
        <f t="shared" si="71"/>
        <v>0</v>
      </c>
      <c r="F181" s="40">
        <f t="shared" si="71"/>
        <v>0</v>
      </c>
      <c r="G181" s="40">
        <f t="shared" si="71"/>
        <v>0</v>
      </c>
      <c r="H181" s="40">
        <f t="shared" si="71"/>
        <v>0</v>
      </c>
    </row>
    <row r="182" spans="1:8">
      <c r="C182" s="40"/>
      <c r="D182" s="40"/>
      <c r="E182" s="40"/>
      <c r="F182" s="40"/>
      <c r="G182" s="40"/>
      <c r="H182" s="40"/>
    </row>
    <row r="183" spans="1:8">
      <c r="C183" s="40"/>
      <c r="D183" s="40"/>
      <c r="E183" s="40"/>
      <c r="F183" s="40"/>
      <c r="G183" s="40"/>
      <c r="H183" s="40"/>
    </row>
    <row r="184" spans="1:8">
      <c r="C184" s="40"/>
      <c r="D184" s="40"/>
      <c r="E184" s="40"/>
      <c r="F184" s="40"/>
      <c r="G184" s="40"/>
      <c r="H184" s="40"/>
    </row>
    <row r="185" spans="1:8">
      <c r="C185" s="40"/>
      <c r="D185" s="40"/>
      <c r="E185" s="40"/>
      <c r="F185" s="40"/>
      <c r="G185" s="40"/>
      <c r="H185" s="40"/>
    </row>
    <row r="186" spans="1:8">
      <c r="C186" s="40"/>
      <c r="D186" s="40"/>
      <c r="E186" s="40"/>
      <c r="F186" s="40"/>
      <c r="G186" s="40"/>
      <c r="H186" s="40"/>
    </row>
  </sheetData>
  <mergeCells count="1">
    <mergeCell ref="I57:O57"/>
  </mergeCells>
  <conditionalFormatting sqref="B49:H49 C20:H20">
    <cfRule type="cellIs" dxfId="4" priority="4" stopIfTrue="1" operator="lessThan">
      <formula>0</formula>
    </cfRule>
  </conditionalFormatting>
  <conditionalFormatting sqref="C20:H20">
    <cfRule type="cellIs" dxfId="3" priority="3" stopIfTrue="1" operator="lessThan">
      <formula>0</formula>
    </cfRule>
  </conditionalFormatting>
  <conditionalFormatting sqref="E20">
    <cfRule type="cellIs" dxfId="2" priority="2" stopIfTrue="1" operator="lessThan">
      <formula>0</formula>
    </cfRule>
  </conditionalFormatting>
  <conditionalFormatting sqref="G20:H20">
    <cfRule type="cellIs" dxfId="1" priority="1" stopIfTrue="1" operator="lessThan">
      <formula>0</formula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A8A60-FEAD-44A0-A789-5CA928E02D11}">
  <dimension ref="A1:I264"/>
  <sheetViews>
    <sheetView tabSelected="1" topLeftCell="A97" workbookViewId="0">
      <selection activeCell="C268" sqref="C268"/>
    </sheetView>
  </sheetViews>
  <sheetFormatPr defaultRowHeight="14.4" outlineLevelRow="1"/>
  <cols>
    <col min="1" max="1" width="45" style="206" customWidth="1"/>
    <col min="2" max="2" width="10" style="206" customWidth="1"/>
    <col min="3" max="3" width="9.6640625" style="206" customWidth="1"/>
    <col min="4" max="4" width="9.5546875" style="206" customWidth="1"/>
    <col min="5" max="5" width="10.33203125" style="206" customWidth="1"/>
    <col min="6" max="6" width="10.44140625" style="206" customWidth="1"/>
    <col min="7" max="8" width="9.5546875" style="206" customWidth="1"/>
    <col min="9" max="9" width="62" customWidth="1"/>
    <col min="10" max="10" width="11.109375" customWidth="1"/>
    <col min="256" max="256" width="45" customWidth="1"/>
    <col min="257" max="257" width="10" customWidth="1"/>
    <col min="258" max="258" width="9.6640625" customWidth="1"/>
    <col min="259" max="259" width="9.5546875" customWidth="1"/>
    <col min="260" max="260" width="10.33203125" customWidth="1"/>
    <col min="261" max="261" width="10.44140625" customWidth="1"/>
    <col min="262" max="263" width="9.5546875" customWidth="1"/>
    <col min="264" max="264" width="45" customWidth="1"/>
    <col min="265" max="265" width="62" customWidth="1"/>
    <col min="266" max="266" width="11.109375" customWidth="1"/>
    <col min="512" max="512" width="45" customWidth="1"/>
    <col min="513" max="513" width="10" customWidth="1"/>
    <col min="514" max="514" width="9.6640625" customWidth="1"/>
    <col min="515" max="515" width="9.5546875" customWidth="1"/>
    <col min="516" max="516" width="10.33203125" customWidth="1"/>
    <col min="517" max="517" width="10.44140625" customWidth="1"/>
    <col min="518" max="519" width="9.5546875" customWidth="1"/>
    <col min="520" max="520" width="45" customWidth="1"/>
    <col min="521" max="521" width="62" customWidth="1"/>
    <col min="522" max="522" width="11.109375" customWidth="1"/>
    <col min="768" max="768" width="45" customWidth="1"/>
    <col min="769" max="769" width="10" customWidth="1"/>
    <col min="770" max="770" width="9.6640625" customWidth="1"/>
    <col min="771" max="771" width="9.5546875" customWidth="1"/>
    <col min="772" max="772" width="10.33203125" customWidth="1"/>
    <col min="773" max="773" width="10.44140625" customWidth="1"/>
    <col min="774" max="775" width="9.5546875" customWidth="1"/>
    <col min="776" max="776" width="45" customWidth="1"/>
    <col min="777" max="777" width="62" customWidth="1"/>
    <col min="778" max="778" width="11.109375" customWidth="1"/>
    <col min="1024" max="1024" width="45" customWidth="1"/>
    <col min="1025" max="1025" width="10" customWidth="1"/>
    <col min="1026" max="1026" width="9.6640625" customWidth="1"/>
    <col min="1027" max="1027" width="9.5546875" customWidth="1"/>
    <col min="1028" max="1028" width="10.33203125" customWidth="1"/>
    <col min="1029" max="1029" width="10.44140625" customWidth="1"/>
    <col min="1030" max="1031" width="9.5546875" customWidth="1"/>
    <col min="1032" max="1032" width="45" customWidth="1"/>
    <col min="1033" max="1033" width="62" customWidth="1"/>
    <col min="1034" max="1034" width="11.109375" customWidth="1"/>
    <col min="1280" max="1280" width="45" customWidth="1"/>
    <col min="1281" max="1281" width="10" customWidth="1"/>
    <col min="1282" max="1282" width="9.6640625" customWidth="1"/>
    <col min="1283" max="1283" width="9.5546875" customWidth="1"/>
    <col min="1284" max="1284" width="10.33203125" customWidth="1"/>
    <col min="1285" max="1285" width="10.44140625" customWidth="1"/>
    <col min="1286" max="1287" width="9.5546875" customWidth="1"/>
    <col min="1288" max="1288" width="45" customWidth="1"/>
    <col min="1289" max="1289" width="62" customWidth="1"/>
    <col min="1290" max="1290" width="11.109375" customWidth="1"/>
    <col min="1536" max="1536" width="45" customWidth="1"/>
    <col min="1537" max="1537" width="10" customWidth="1"/>
    <col min="1538" max="1538" width="9.6640625" customWidth="1"/>
    <col min="1539" max="1539" width="9.5546875" customWidth="1"/>
    <col min="1540" max="1540" width="10.33203125" customWidth="1"/>
    <col min="1541" max="1541" width="10.44140625" customWidth="1"/>
    <col min="1542" max="1543" width="9.5546875" customWidth="1"/>
    <col min="1544" max="1544" width="45" customWidth="1"/>
    <col min="1545" max="1545" width="62" customWidth="1"/>
    <col min="1546" max="1546" width="11.109375" customWidth="1"/>
    <col min="1792" max="1792" width="45" customWidth="1"/>
    <col min="1793" max="1793" width="10" customWidth="1"/>
    <col min="1794" max="1794" width="9.6640625" customWidth="1"/>
    <col min="1795" max="1795" width="9.5546875" customWidth="1"/>
    <col min="1796" max="1796" width="10.33203125" customWidth="1"/>
    <col min="1797" max="1797" width="10.44140625" customWidth="1"/>
    <col min="1798" max="1799" width="9.5546875" customWidth="1"/>
    <col min="1800" max="1800" width="45" customWidth="1"/>
    <col min="1801" max="1801" width="62" customWidth="1"/>
    <col min="1802" max="1802" width="11.109375" customWidth="1"/>
    <col min="2048" max="2048" width="45" customWidth="1"/>
    <col min="2049" max="2049" width="10" customWidth="1"/>
    <col min="2050" max="2050" width="9.6640625" customWidth="1"/>
    <col min="2051" max="2051" width="9.5546875" customWidth="1"/>
    <col min="2052" max="2052" width="10.33203125" customWidth="1"/>
    <col min="2053" max="2053" width="10.44140625" customWidth="1"/>
    <col min="2054" max="2055" width="9.5546875" customWidth="1"/>
    <col min="2056" max="2056" width="45" customWidth="1"/>
    <col min="2057" max="2057" width="62" customWidth="1"/>
    <col min="2058" max="2058" width="11.109375" customWidth="1"/>
    <col min="2304" max="2304" width="45" customWidth="1"/>
    <col min="2305" max="2305" width="10" customWidth="1"/>
    <col min="2306" max="2306" width="9.6640625" customWidth="1"/>
    <col min="2307" max="2307" width="9.5546875" customWidth="1"/>
    <col min="2308" max="2308" width="10.33203125" customWidth="1"/>
    <col min="2309" max="2309" width="10.44140625" customWidth="1"/>
    <col min="2310" max="2311" width="9.5546875" customWidth="1"/>
    <col min="2312" max="2312" width="45" customWidth="1"/>
    <col min="2313" max="2313" width="62" customWidth="1"/>
    <col min="2314" max="2314" width="11.109375" customWidth="1"/>
    <col min="2560" max="2560" width="45" customWidth="1"/>
    <col min="2561" max="2561" width="10" customWidth="1"/>
    <col min="2562" max="2562" width="9.6640625" customWidth="1"/>
    <col min="2563" max="2563" width="9.5546875" customWidth="1"/>
    <col min="2564" max="2564" width="10.33203125" customWidth="1"/>
    <col min="2565" max="2565" width="10.44140625" customWidth="1"/>
    <col min="2566" max="2567" width="9.5546875" customWidth="1"/>
    <col min="2568" max="2568" width="45" customWidth="1"/>
    <col min="2569" max="2569" width="62" customWidth="1"/>
    <col min="2570" max="2570" width="11.109375" customWidth="1"/>
    <col min="2816" max="2816" width="45" customWidth="1"/>
    <col min="2817" max="2817" width="10" customWidth="1"/>
    <col min="2818" max="2818" width="9.6640625" customWidth="1"/>
    <col min="2819" max="2819" width="9.5546875" customWidth="1"/>
    <col min="2820" max="2820" width="10.33203125" customWidth="1"/>
    <col min="2821" max="2821" width="10.44140625" customWidth="1"/>
    <col min="2822" max="2823" width="9.5546875" customWidth="1"/>
    <col min="2824" max="2824" width="45" customWidth="1"/>
    <col min="2825" max="2825" width="62" customWidth="1"/>
    <col min="2826" max="2826" width="11.109375" customWidth="1"/>
    <col min="3072" max="3072" width="45" customWidth="1"/>
    <col min="3073" max="3073" width="10" customWidth="1"/>
    <col min="3074" max="3074" width="9.6640625" customWidth="1"/>
    <col min="3075" max="3075" width="9.5546875" customWidth="1"/>
    <col min="3076" max="3076" width="10.33203125" customWidth="1"/>
    <col min="3077" max="3077" width="10.44140625" customWidth="1"/>
    <col min="3078" max="3079" width="9.5546875" customWidth="1"/>
    <col min="3080" max="3080" width="45" customWidth="1"/>
    <col min="3081" max="3081" width="62" customWidth="1"/>
    <col min="3082" max="3082" width="11.109375" customWidth="1"/>
    <col min="3328" max="3328" width="45" customWidth="1"/>
    <col min="3329" max="3329" width="10" customWidth="1"/>
    <col min="3330" max="3330" width="9.6640625" customWidth="1"/>
    <col min="3331" max="3331" width="9.5546875" customWidth="1"/>
    <col min="3332" max="3332" width="10.33203125" customWidth="1"/>
    <col min="3333" max="3333" width="10.44140625" customWidth="1"/>
    <col min="3334" max="3335" width="9.5546875" customWidth="1"/>
    <col min="3336" max="3336" width="45" customWidth="1"/>
    <col min="3337" max="3337" width="62" customWidth="1"/>
    <col min="3338" max="3338" width="11.109375" customWidth="1"/>
    <col min="3584" max="3584" width="45" customWidth="1"/>
    <col min="3585" max="3585" width="10" customWidth="1"/>
    <col min="3586" max="3586" width="9.6640625" customWidth="1"/>
    <col min="3587" max="3587" width="9.5546875" customWidth="1"/>
    <col min="3588" max="3588" width="10.33203125" customWidth="1"/>
    <col min="3589" max="3589" width="10.44140625" customWidth="1"/>
    <col min="3590" max="3591" width="9.5546875" customWidth="1"/>
    <col min="3592" max="3592" width="45" customWidth="1"/>
    <col min="3593" max="3593" width="62" customWidth="1"/>
    <col min="3594" max="3594" width="11.109375" customWidth="1"/>
    <col min="3840" max="3840" width="45" customWidth="1"/>
    <col min="3841" max="3841" width="10" customWidth="1"/>
    <col min="3842" max="3842" width="9.6640625" customWidth="1"/>
    <col min="3843" max="3843" width="9.5546875" customWidth="1"/>
    <col min="3844" max="3844" width="10.33203125" customWidth="1"/>
    <col min="3845" max="3845" width="10.44140625" customWidth="1"/>
    <col min="3846" max="3847" width="9.5546875" customWidth="1"/>
    <col min="3848" max="3848" width="45" customWidth="1"/>
    <col min="3849" max="3849" width="62" customWidth="1"/>
    <col min="3850" max="3850" width="11.109375" customWidth="1"/>
    <col min="4096" max="4096" width="45" customWidth="1"/>
    <col min="4097" max="4097" width="10" customWidth="1"/>
    <col min="4098" max="4098" width="9.6640625" customWidth="1"/>
    <col min="4099" max="4099" width="9.5546875" customWidth="1"/>
    <col min="4100" max="4100" width="10.33203125" customWidth="1"/>
    <col min="4101" max="4101" width="10.44140625" customWidth="1"/>
    <col min="4102" max="4103" width="9.5546875" customWidth="1"/>
    <col min="4104" max="4104" width="45" customWidth="1"/>
    <col min="4105" max="4105" width="62" customWidth="1"/>
    <col min="4106" max="4106" width="11.109375" customWidth="1"/>
    <col min="4352" max="4352" width="45" customWidth="1"/>
    <col min="4353" max="4353" width="10" customWidth="1"/>
    <col min="4354" max="4354" width="9.6640625" customWidth="1"/>
    <col min="4355" max="4355" width="9.5546875" customWidth="1"/>
    <col min="4356" max="4356" width="10.33203125" customWidth="1"/>
    <col min="4357" max="4357" width="10.44140625" customWidth="1"/>
    <col min="4358" max="4359" width="9.5546875" customWidth="1"/>
    <col min="4360" max="4360" width="45" customWidth="1"/>
    <col min="4361" max="4361" width="62" customWidth="1"/>
    <col min="4362" max="4362" width="11.109375" customWidth="1"/>
    <col min="4608" max="4608" width="45" customWidth="1"/>
    <col min="4609" max="4609" width="10" customWidth="1"/>
    <col min="4610" max="4610" width="9.6640625" customWidth="1"/>
    <col min="4611" max="4611" width="9.5546875" customWidth="1"/>
    <col min="4612" max="4612" width="10.33203125" customWidth="1"/>
    <col min="4613" max="4613" width="10.44140625" customWidth="1"/>
    <col min="4614" max="4615" width="9.5546875" customWidth="1"/>
    <col min="4616" max="4616" width="45" customWidth="1"/>
    <col min="4617" max="4617" width="62" customWidth="1"/>
    <col min="4618" max="4618" width="11.109375" customWidth="1"/>
    <col min="4864" max="4864" width="45" customWidth="1"/>
    <col min="4865" max="4865" width="10" customWidth="1"/>
    <col min="4866" max="4866" width="9.6640625" customWidth="1"/>
    <col min="4867" max="4867" width="9.5546875" customWidth="1"/>
    <col min="4868" max="4868" width="10.33203125" customWidth="1"/>
    <col min="4869" max="4869" width="10.44140625" customWidth="1"/>
    <col min="4870" max="4871" width="9.5546875" customWidth="1"/>
    <col min="4872" max="4872" width="45" customWidth="1"/>
    <col min="4873" max="4873" width="62" customWidth="1"/>
    <col min="4874" max="4874" width="11.109375" customWidth="1"/>
    <col min="5120" max="5120" width="45" customWidth="1"/>
    <col min="5121" max="5121" width="10" customWidth="1"/>
    <col min="5122" max="5122" width="9.6640625" customWidth="1"/>
    <col min="5123" max="5123" width="9.5546875" customWidth="1"/>
    <col min="5124" max="5124" width="10.33203125" customWidth="1"/>
    <col min="5125" max="5125" width="10.44140625" customWidth="1"/>
    <col min="5126" max="5127" width="9.5546875" customWidth="1"/>
    <col min="5128" max="5128" width="45" customWidth="1"/>
    <col min="5129" max="5129" width="62" customWidth="1"/>
    <col min="5130" max="5130" width="11.109375" customWidth="1"/>
    <col min="5376" max="5376" width="45" customWidth="1"/>
    <col min="5377" max="5377" width="10" customWidth="1"/>
    <col min="5378" max="5378" width="9.6640625" customWidth="1"/>
    <col min="5379" max="5379" width="9.5546875" customWidth="1"/>
    <col min="5380" max="5380" width="10.33203125" customWidth="1"/>
    <col min="5381" max="5381" width="10.44140625" customWidth="1"/>
    <col min="5382" max="5383" width="9.5546875" customWidth="1"/>
    <col min="5384" max="5384" width="45" customWidth="1"/>
    <col min="5385" max="5385" width="62" customWidth="1"/>
    <col min="5386" max="5386" width="11.109375" customWidth="1"/>
    <col min="5632" max="5632" width="45" customWidth="1"/>
    <col min="5633" max="5633" width="10" customWidth="1"/>
    <col min="5634" max="5634" width="9.6640625" customWidth="1"/>
    <col min="5635" max="5635" width="9.5546875" customWidth="1"/>
    <col min="5636" max="5636" width="10.33203125" customWidth="1"/>
    <col min="5637" max="5637" width="10.44140625" customWidth="1"/>
    <col min="5638" max="5639" width="9.5546875" customWidth="1"/>
    <col min="5640" max="5640" width="45" customWidth="1"/>
    <col min="5641" max="5641" width="62" customWidth="1"/>
    <col min="5642" max="5642" width="11.109375" customWidth="1"/>
    <col min="5888" max="5888" width="45" customWidth="1"/>
    <col min="5889" max="5889" width="10" customWidth="1"/>
    <col min="5890" max="5890" width="9.6640625" customWidth="1"/>
    <col min="5891" max="5891" width="9.5546875" customWidth="1"/>
    <col min="5892" max="5892" width="10.33203125" customWidth="1"/>
    <col min="5893" max="5893" width="10.44140625" customWidth="1"/>
    <col min="5894" max="5895" width="9.5546875" customWidth="1"/>
    <col min="5896" max="5896" width="45" customWidth="1"/>
    <col min="5897" max="5897" width="62" customWidth="1"/>
    <col min="5898" max="5898" width="11.109375" customWidth="1"/>
    <col min="6144" max="6144" width="45" customWidth="1"/>
    <col min="6145" max="6145" width="10" customWidth="1"/>
    <col min="6146" max="6146" width="9.6640625" customWidth="1"/>
    <col min="6147" max="6147" width="9.5546875" customWidth="1"/>
    <col min="6148" max="6148" width="10.33203125" customWidth="1"/>
    <col min="6149" max="6149" width="10.44140625" customWidth="1"/>
    <col min="6150" max="6151" width="9.5546875" customWidth="1"/>
    <col min="6152" max="6152" width="45" customWidth="1"/>
    <col min="6153" max="6153" width="62" customWidth="1"/>
    <col min="6154" max="6154" width="11.109375" customWidth="1"/>
    <col min="6400" max="6400" width="45" customWidth="1"/>
    <col min="6401" max="6401" width="10" customWidth="1"/>
    <col min="6402" max="6402" width="9.6640625" customWidth="1"/>
    <col min="6403" max="6403" width="9.5546875" customWidth="1"/>
    <col min="6404" max="6404" width="10.33203125" customWidth="1"/>
    <col min="6405" max="6405" width="10.44140625" customWidth="1"/>
    <col min="6406" max="6407" width="9.5546875" customWidth="1"/>
    <col min="6408" max="6408" width="45" customWidth="1"/>
    <col min="6409" max="6409" width="62" customWidth="1"/>
    <col min="6410" max="6410" width="11.109375" customWidth="1"/>
    <col min="6656" max="6656" width="45" customWidth="1"/>
    <col min="6657" max="6657" width="10" customWidth="1"/>
    <col min="6658" max="6658" width="9.6640625" customWidth="1"/>
    <col min="6659" max="6659" width="9.5546875" customWidth="1"/>
    <col min="6660" max="6660" width="10.33203125" customWidth="1"/>
    <col min="6661" max="6661" width="10.44140625" customWidth="1"/>
    <col min="6662" max="6663" width="9.5546875" customWidth="1"/>
    <col min="6664" max="6664" width="45" customWidth="1"/>
    <col min="6665" max="6665" width="62" customWidth="1"/>
    <col min="6666" max="6666" width="11.109375" customWidth="1"/>
    <col min="6912" max="6912" width="45" customWidth="1"/>
    <col min="6913" max="6913" width="10" customWidth="1"/>
    <col min="6914" max="6914" width="9.6640625" customWidth="1"/>
    <col min="6915" max="6915" width="9.5546875" customWidth="1"/>
    <col min="6916" max="6916" width="10.33203125" customWidth="1"/>
    <col min="6917" max="6917" width="10.44140625" customWidth="1"/>
    <col min="6918" max="6919" width="9.5546875" customWidth="1"/>
    <col min="6920" max="6920" width="45" customWidth="1"/>
    <col min="6921" max="6921" width="62" customWidth="1"/>
    <col min="6922" max="6922" width="11.109375" customWidth="1"/>
    <col min="7168" max="7168" width="45" customWidth="1"/>
    <col min="7169" max="7169" width="10" customWidth="1"/>
    <col min="7170" max="7170" width="9.6640625" customWidth="1"/>
    <col min="7171" max="7171" width="9.5546875" customWidth="1"/>
    <col min="7172" max="7172" width="10.33203125" customWidth="1"/>
    <col min="7173" max="7173" width="10.44140625" customWidth="1"/>
    <col min="7174" max="7175" width="9.5546875" customWidth="1"/>
    <col min="7176" max="7176" width="45" customWidth="1"/>
    <col min="7177" max="7177" width="62" customWidth="1"/>
    <col min="7178" max="7178" width="11.109375" customWidth="1"/>
    <col min="7424" max="7424" width="45" customWidth="1"/>
    <col min="7425" max="7425" width="10" customWidth="1"/>
    <col min="7426" max="7426" width="9.6640625" customWidth="1"/>
    <col min="7427" max="7427" width="9.5546875" customWidth="1"/>
    <col min="7428" max="7428" width="10.33203125" customWidth="1"/>
    <col min="7429" max="7429" width="10.44140625" customWidth="1"/>
    <col min="7430" max="7431" width="9.5546875" customWidth="1"/>
    <col min="7432" max="7432" width="45" customWidth="1"/>
    <col min="7433" max="7433" width="62" customWidth="1"/>
    <col min="7434" max="7434" width="11.109375" customWidth="1"/>
    <col min="7680" max="7680" width="45" customWidth="1"/>
    <col min="7681" max="7681" width="10" customWidth="1"/>
    <col min="7682" max="7682" width="9.6640625" customWidth="1"/>
    <col min="7683" max="7683" width="9.5546875" customWidth="1"/>
    <col min="7684" max="7684" width="10.33203125" customWidth="1"/>
    <col min="7685" max="7685" width="10.44140625" customWidth="1"/>
    <col min="7686" max="7687" width="9.5546875" customWidth="1"/>
    <col min="7688" max="7688" width="45" customWidth="1"/>
    <col min="7689" max="7689" width="62" customWidth="1"/>
    <col min="7690" max="7690" width="11.109375" customWidth="1"/>
    <col min="7936" max="7936" width="45" customWidth="1"/>
    <col min="7937" max="7937" width="10" customWidth="1"/>
    <col min="7938" max="7938" width="9.6640625" customWidth="1"/>
    <col min="7939" max="7939" width="9.5546875" customWidth="1"/>
    <col min="7940" max="7940" width="10.33203125" customWidth="1"/>
    <col min="7941" max="7941" width="10.44140625" customWidth="1"/>
    <col min="7942" max="7943" width="9.5546875" customWidth="1"/>
    <col min="7944" max="7944" width="45" customWidth="1"/>
    <col min="7945" max="7945" width="62" customWidth="1"/>
    <col min="7946" max="7946" width="11.109375" customWidth="1"/>
    <col min="8192" max="8192" width="45" customWidth="1"/>
    <col min="8193" max="8193" width="10" customWidth="1"/>
    <col min="8194" max="8194" width="9.6640625" customWidth="1"/>
    <col min="8195" max="8195" width="9.5546875" customWidth="1"/>
    <col min="8196" max="8196" width="10.33203125" customWidth="1"/>
    <col min="8197" max="8197" width="10.44140625" customWidth="1"/>
    <col min="8198" max="8199" width="9.5546875" customWidth="1"/>
    <col min="8200" max="8200" width="45" customWidth="1"/>
    <col min="8201" max="8201" width="62" customWidth="1"/>
    <col min="8202" max="8202" width="11.109375" customWidth="1"/>
    <col min="8448" max="8448" width="45" customWidth="1"/>
    <col min="8449" max="8449" width="10" customWidth="1"/>
    <col min="8450" max="8450" width="9.6640625" customWidth="1"/>
    <col min="8451" max="8451" width="9.5546875" customWidth="1"/>
    <col min="8452" max="8452" width="10.33203125" customWidth="1"/>
    <col min="8453" max="8453" width="10.44140625" customWidth="1"/>
    <col min="8454" max="8455" width="9.5546875" customWidth="1"/>
    <col min="8456" max="8456" width="45" customWidth="1"/>
    <col min="8457" max="8457" width="62" customWidth="1"/>
    <col min="8458" max="8458" width="11.109375" customWidth="1"/>
    <col min="8704" max="8704" width="45" customWidth="1"/>
    <col min="8705" max="8705" width="10" customWidth="1"/>
    <col min="8706" max="8706" width="9.6640625" customWidth="1"/>
    <col min="8707" max="8707" width="9.5546875" customWidth="1"/>
    <col min="8708" max="8708" width="10.33203125" customWidth="1"/>
    <col min="8709" max="8709" width="10.44140625" customWidth="1"/>
    <col min="8710" max="8711" width="9.5546875" customWidth="1"/>
    <col min="8712" max="8712" width="45" customWidth="1"/>
    <col min="8713" max="8713" width="62" customWidth="1"/>
    <col min="8714" max="8714" width="11.109375" customWidth="1"/>
    <col min="8960" max="8960" width="45" customWidth="1"/>
    <col min="8961" max="8961" width="10" customWidth="1"/>
    <col min="8962" max="8962" width="9.6640625" customWidth="1"/>
    <col min="8963" max="8963" width="9.5546875" customWidth="1"/>
    <col min="8964" max="8964" width="10.33203125" customWidth="1"/>
    <col min="8965" max="8965" width="10.44140625" customWidth="1"/>
    <col min="8966" max="8967" width="9.5546875" customWidth="1"/>
    <col min="8968" max="8968" width="45" customWidth="1"/>
    <col min="8969" max="8969" width="62" customWidth="1"/>
    <col min="8970" max="8970" width="11.109375" customWidth="1"/>
    <col min="9216" max="9216" width="45" customWidth="1"/>
    <col min="9217" max="9217" width="10" customWidth="1"/>
    <col min="9218" max="9218" width="9.6640625" customWidth="1"/>
    <col min="9219" max="9219" width="9.5546875" customWidth="1"/>
    <col min="9220" max="9220" width="10.33203125" customWidth="1"/>
    <col min="9221" max="9221" width="10.44140625" customWidth="1"/>
    <col min="9222" max="9223" width="9.5546875" customWidth="1"/>
    <col min="9224" max="9224" width="45" customWidth="1"/>
    <col min="9225" max="9225" width="62" customWidth="1"/>
    <col min="9226" max="9226" width="11.109375" customWidth="1"/>
    <col min="9472" max="9472" width="45" customWidth="1"/>
    <col min="9473" max="9473" width="10" customWidth="1"/>
    <col min="9474" max="9474" width="9.6640625" customWidth="1"/>
    <col min="9475" max="9475" width="9.5546875" customWidth="1"/>
    <col min="9476" max="9476" width="10.33203125" customWidth="1"/>
    <col min="9477" max="9477" width="10.44140625" customWidth="1"/>
    <col min="9478" max="9479" width="9.5546875" customWidth="1"/>
    <col min="9480" max="9480" width="45" customWidth="1"/>
    <col min="9481" max="9481" width="62" customWidth="1"/>
    <col min="9482" max="9482" width="11.109375" customWidth="1"/>
    <col min="9728" max="9728" width="45" customWidth="1"/>
    <col min="9729" max="9729" width="10" customWidth="1"/>
    <col min="9730" max="9730" width="9.6640625" customWidth="1"/>
    <col min="9731" max="9731" width="9.5546875" customWidth="1"/>
    <col min="9732" max="9732" width="10.33203125" customWidth="1"/>
    <col min="9733" max="9733" width="10.44140625" customWidth="1"/>
    <col min="9734" max="9735" width="9.5546875" customWidth="1"/>
    <col min="9736" max="9736" width="45" customWidth="1"/>
    <col min="9737" max="9737" width="62" customWidth="1"/>
    <col min="9738" max="9738" width="11.109375" customWidth="1"/>
    <col min="9984" max="9984" width="45" customWidth="1"/>
    <col min="9985" max="9985" width="10" customWidth="1"/>
    <col min="9986" max="9986" width="9.6640625" customWidth="1"/>
    <col min="9987" max="9987" width="9.5546875" customWidth="1"/>
    <col min="9988" max="9988" width="10.33203125" customWidth="1"/>
    <col min="9989" max="9989" width="10.44140625" customWidth="1"/>
    <col min="9990" max="9991" width="9.5546875" customWidth="1"/>
    <col min="9992" max="9992" width="45" customWidth="1"/>
    <col min="9993" max="9993" width="62" customWidth="1"/>
    <col min="9994" max="9994" width="11.109375" customWidth="1"/>
    <col min="10240" max="10240" width="45" customWidth="1"/>
    <col min="10241" max="10241" width="10" customWidth="1"/>
    <col min="10242" max="10242" width="9.6640625" customWidth="1"/>
    <col min="10243" max="10243" width="9.5546875" customWidth="1"/>
    <col min="10244" max="10244" width="10.33203125" customWidth="1"/>
    <col min="10245" max="10245" width="10.44140625" customWidth="1"/>
    <col min="10246" max="10247" width="9.5546875" customWidth="1"/>
    <col min="10248" max="10248" width="45" customWidth="1"/>
    <col min="10249" max="10249" width="62" customWidth="1"/>
    <col min="10250" max="10250" width="11.109375" customWidth="1"/>
    <col min="10496" max="10496" width="45" customWidth="1"/>
    <col min="10497" max="10497" width="10" customWidth="1"/>
    <col min="10498" max="10498" width="9.6640625" customWidth="1"/>
    <col min="10499" max="10499" width="9.5546875" customWidth="1"/>
    <col min="10500" max="10500" width="10.33203125" customWidth="1"/>
    <col min="10501" max="10501" width="10.44140625" customWidth="1"/>
    <col min="10502" max="10503" width="9.5546875" customWidth="1"/>
    <col min="10504" max="10504" width="45" customWidth="1"/>
    <col min="10505" max="10505" width="62" customWidth="1"/>
    <col min="10506" max="10506" width="11.109375" customWidth="1"/>
    <col min="10752" max="10752" width="45" customWidth="1"/>
    <col min="10753" max="10753" width="10" customWidth="1"/>
    <col min="10754" max="10754" width="9.6640625" customWidth="1"/>
    <col min="10755" max="10755" width="9.5546875" customWidth="1"/>
    <col min="10756" max="10756" width="10.33203125" customWidth="1"/>
    <col min="10757" max="10757" width="10.44140625" customWidth="1"/>
    <col min="10758" max="10759" width="9.5546875" customWidth="1"/>
    <col min="10760" max="10760" width="45" customWidth="1"/>
    <col min="10761" max="10761" width="62" customWidth="1"/>
    <col min="10762" max="10762" width="11.109375" customWidth="1"/>
    <col min="11008" max="11008" width="45" customWidth="1"/>
    <col min="11009" max="11009" width="10" customWidth="1"/>
    <col min="11010" max="11010" width="9.6640625" customWidth="1"/>
    <col min="11011" max="11011" width="9.5546875" customWidth="1"/>
    <col min="11012" max="11012" width="10.33203125" customWidth="1"/>
    <col min="11013" max="11013" width="10.44140625" customWidth="1"/>
    <col min="11014" max="11015" width="9.5546875" customWidth="1"/>
    <col min="11016" max="11016" width="45" customWidth="1"/>
    <col min="11017" max="11017" width="62" customWidth="1"/>
    <col min="11018" max="11018" width="11.109375" customWidth="1"/>
    <col min="11264" max="11264" width="45" customWidth="1"/>
    <col min="11265" max="11265" width="10" customWidth="1"/>
    <col min="11266" max="11266" width="9.6640625" customWidth="1"/>
    <col min="11267" max="11267" width="9.5546875" customWidth="1"/>
    <col min="11268" max="11268" width="10.33203125" customWidth="1"/>
    <col min="11269" max="11269" width="10.44140625" customWidth="1"/>
    <col min="11270" max="11271" width="9.5546875" customWidth="1"/>
    <col min="11272" max="11272" width="45" customWidth="1"/>
    <col min="11273" max="11273" width="62" customWidth="1"/>
    <col min="11274" max="11274" width="11.109375" customWidth="1"/>
    <col min="11520" max="11520" width="45" customWidth="1"/>
    <col min="11521" max="11521" width="10" customWidth="1"/>
    <col min="11522" max="11522" width="9.6640625" customWidth="1"/>
    <col min="11523" max="11523" width="9.5546875" customWidth="1"/>
    <col min="11524" max="11524" width="10.33203125" customWidth="1"/>
    <col min="11525" max="11525" width="10.44140625" customWidth="1"/>
    <col min="11526" max="11527" width="9.5546875" customWidth="1"/>
    <col min="11528" max="11528" width="45" customWidth="1"/>
    <col min="11529" max="11529" width="62" customWidth="1"/>
    <col min="11530" max="11530" width="11.109375" customWidth="1"/>
    <col min="11776" max="11776" width="45" customWidth="1"/>
    <col min="11777" max="11777" width="10" customWidth="1"/>
    <col min="11778" max="11778" width="9.6640625" customWidth="1"/>
    <col min="11779" max="11779" width="9.5546875" customWidth="1"/>
    <col min="11780" max="11780" width="10.33203125" customWidth="1"/>
    <col min="11781" max="11781" width="10.44140625" customWidth="1"/>
    <col min="11782" max="11783" width="9.5546875" customWidth="1"/>
    <col min="11784" max="11784" width="45" customWidth="1"/>
    <col min="11785" max="11785" width="62" customWidth="1"/>
    <col min="11786" max="11786" width="11.109375" customWidth="1"/>
    <col min="12032" max="12032" width="45" customWidth="1"/>
    <col min="12033" max="12033" width="10" customWidth="1"/>
    <col min="12034" max="12034" width="9.6640625" customWidth="1"/>
    <col min="12035" max="12035" width="9.5546875" customWidth="1"/>
    <col min="12036" max="12036" width="10.33203125" customWidth="1"/>
    <col min="12037" max="12037" width="10.44140625" customWidth="1"/>
    <col min="12038" max="12039" width="9.5546875" customWidth="1"/>
    <col min="12040" max="12040" width="45" customWidth="1"/>
    <col min="12041" max="12041" width="62" customWidth="1"/>
    <col min="12042" max="12042" width="11.109375" customWidth="1"/>
    <col min="12288" max="12288" width="45" customWidth="1"/>
    <col min="12289" max="12289" width="10" customWidth="1"/>
    <col min="12290" max="12290" width="9.6640625" customWidth="1"/>
    <col min="12291" max="12291" width="9.5546875" customWidth="1"/>
    <col min="12292" max="12292" width="10.33203125" customWidth="1"/>
    <col min="12293" max="12293" width="10.44140625" customWidth="1"/>
    <col min="12294" max="12295" width="9.5546875" customWidth="1"/>
    <col min="12296" max="12296" width="45" customWidth="1"/>
    <col min="12297" max="12297" width="62" customWidth="1"/>
    <col min="12298" max="12298" width="11.109375" customWidth="1"/>
    <col min="12544" max="12544" width="45" customWidth="1"/>
    <col min="12545" max="12545" width="10" customWidth="1"/>
    <col min="12546" max="12546" width="9.6640625" customWidth="1"/>
    <col min="12547" max="12547" width="9.5546875" customWidth="1"/>
    <col min="12548" max="12548" width="10.33203125" customWidth="1"/>
    <col min="12549" max="12549" width="10.44140625" customWidth="1"/>
    <col min="12550" max="12551" width="9.5546875" customWidth="1"/>
    <col min="12552" max="12552" width="45" customWidth="1"/>
    <col min="12553" max="12553" width="62" customWidth="1"/>
    <col min="12554" max="12554" width="11.109375" customWidth="1"/>
    <col min="12800" max="12800" width="45" customWidth="1"/>
    <col min="12801" max="12801" width="10" customWidth="1"/>
    <col min="12802" max="12802" width="9.6640625" customWidth="1"/>
    <col min="12803" max="12803" width="9.5546875" customWidth="1"/>
    <col min="12804" max="12804" width="10.33203125" customWidth="1"/>
    <col min="12805" max="12805" width="10.44140625" customWidth="1"/>
    <col min="12806" max="12807" width="9.5546875" customWidth="1"/>
    <col min="12808" max="12808" width="45" customWidth="1"/>
    <col min="12809" max="12809" width="62" customWidth="1"/>
    <col min="12810" max="12810" width="11.109375" customWidth="1"/>
    <col min="13056" max="13056" width="45" customWidth="1"/>
    <col min="13057" max="13057" width="10" customWidth="1"/>
    <col min="13058" max="13058" width="9.6640625" customWidth="1"/>
    <col min="13059" max="13059" width="9.5546875" customWidth="1"/>
    <col min="13060" max="13060" width="10.33203125" customWidth="1"/>
    <col min="13061" max="13061" width="10.44140625" customWidth="1"/>
    <col min="13062" max="13063" width="9.5546875" customWidth="1"/>
    <col min="13064" max="13064" width="45" customWidth="1"/>
    <col min="13065" max="13065" width="62" customWidth="1"/>
    <col min="13066" max="13066" width="11.109375" customWidth="1"/>
    <col min="13312" max="13312" width="45" customWidth="1"/>
    <col min="13313" max="13313" width="10" customWidth="1"/>
    <col min="13314" max="13314" width="9.6640625" customWidth="1"/>
    <col min="13315" max="13315" width="9.5546875" customWidth="1"/>
    <col min="13316" max="13316" width="10.33203125" customWidth="1"/>
    <col min="13317" max="13317" width="10.44140625" customWidth="1"/>
    <col min="13318" max="13319" width="9.5546875" customWidth="1"/>
    <col min="13320" max="13320" width="45" customWidth="1"/>
    <col min="13321" max="13321" width="62" customWidth="1"/>
    <col min="13322" max="13322" width="11.109375" customWidth="1"/>
    <col min="13568" max="13568" width="45" customWidth="1"/>
    <col min="13569" max="13569" width="10" customWidth="1"/>
    <col min="13570" max="13570" width="9.6640625" customWidth="1"/>
    <col min="13571" max="13571" width="9.5546875" customWidth="1"/>
    <col min="13572" max="13572" width="10.33203125" customWidth="1"/>
    <col min="13573" max="13573" width="10.44140625" customWidth="1"/>
    <col min="13574" max="13575" width="9.5546875" customWidth="1"/>
    <col min="13576" max="13576" width="45" customWidth="1"/>
    <col min="13577" max="13577" width="62" customWidth="1"/>
    <col min="13578" max="13578" width="11.109375" customWidth="1"/>
    <col min="13824" max="13824" width="45" customWidth="1"/>
    <col min="13825" max="13825" width="10" customWidth="1"/>
    <col min="13826" max="13826" width="9.6640625" customWidth="1"/>
    <col min="13827" max="13827" width="9.5546875" customWidth="1"/>
    <col min="13828" max="13828" width="10.33203125" customWidth="1"/>
    <col min="13829" max="13829" width="10.44140625" customWidth="1"/>
    <col min="13830" max="13831" width="9.5546875" customWidth="1"/>
    <col min="13832" max="13832" width="45" customWidth="1"/>
    <col min="13833" max="13833" width="62" customWidth="1"/>
    <col min="13834" max="13834" width="11.109375" customWidth="1"/>
    <col min="14080" max="14080" width="45" customWidth="1"/>
    <col min="14081" max="14081" width="10" customWidth="1"/>
    <col min="14082" max="14082" width="9.6640625" customWidth="1"/>
    <col min="14083" max="14083" width="9.5546875" customWidth="1"/>
    <col min="14084" max="14084" width="10.33203125" customWidth="1"/>
    <col min="14085" max="14085" width="10.44140625" customWidth="1"/>
    <col min="14086" max="14087" width="9.5546875" customWidth="1"/>
    <col min="14088" max="14088" width="45" customWidth="1"/>
    <col min="14089" max="14089" width="62" customWidth="1"/>
    <col min="14090" max="14090" width="11.109375" customWidth="1"/>
    <col min="14336" max="14336" width="45" customWidth="1"/>
    <col min="14337" max="14337" width="10" customWidth="1"/>
    <col min="14338" max="14338" width="9.6640625" customWidth="1"/>
    <col min="14339" max="14339" width="9.5546875" customWidth="1"/>
    <col min="14340" max="14340" width="10.33203125" customWidth="1"/>
    <col min="14341" max="14341" width="10.44140625" customWidth="1"/>
    <col min="14342" max="14343" width="9.5546875" customWidth="1"/>
    <col min="14344" max="14344" width="45" customWidth="1"/>
    <col min="14345" max="14345" width="62" customWidth="1"/>
    <col min="14346" max="14346" width="11.109375" customWidth="1"/>
    <col min="14592" max="14592" width="45" customWidth="1"/>
    <col min="14593" max="14593" width="10" customWidth="1"/>
    <col min="14594" max="14594" width="9.6640625" customWidth="1"/>
    <col min="14595" max="14595" width="9.5546875" customWidth="1"/>
    <col min="14596" max="14596" width="10.33203125" customWidth="1"/>
    <col min="14597" max="14597" width="10.44140625" customWidth="1"/>
    <col min="14598" max="14599" width="9.5546875" customWidth="1"/>
    <col min="14600" max="14600" width="45" customWidth="1"/>
    <col min="14601" max="14601" width="62" customWidth="1"/>
    <col min="14602" max="14602" width="11.109375" customWidth="1"/>
    <col min="14848" max="14848" width="45" customWidth="1"/>
    <col min="14849" max="14849" width="10" customWidth="1"/>
    <col min="14850" max="14850" width="9.6640625" customWidth="1"/>
    <col min="14851" max="14851" width="9.5546875" customWidth="1"/>
    <col min="14852" max="14852" width="10.33203125" customWidth="1"/>
    <col min="14853" max="14853" width="10.44140625" customWidth="1"/>
    <col min="14854" max="14855" width="9.5546875" customWidth="1"/>
    <col min="14856" max="14856" width="45" customWidth="1"/>
    <col min="14857" max="14857" width="62" customWidth="1"/>
    <col min="14858" max="14858" width="11.109375" customWidth="1"/>
    <col min="15104" max="15104" width="45" customWidth="1"/>
    <col min="15105" max="15105" width="10" customWidth="1"/>
    <col min="15106" max="15106" width="9.6640625" customWidth="1"/>
    <col min="15107" max="15107" width="9.5546875" customWidth="1"/>
    <col min="15108" max="15108" width="10.33203125" customWidth="1"/>
    <col min="15109" max="15109" width="10.44140625" customWidth="1"/>
    <col min="15110" max="15111" width="9.5546875" customWidth="1"/>
    <col min="15112" max="15112" width="45" customWidth="1"/>
    <col min="15113" max="15113" width="62" customWidth="1"/>
    <col min="15114" max="15114" width="11.109375" customWidth="1"/>
    <col min="15360" max="15360" width="45" customWidth="1"/>
    <col min="15361" max="15361" width="10" customWidth="1"/>
    <col min="15362" max="15362" width="9.6640625" customWidth="1"/>
    <col min="15363" max="15363" width="9.5546875" customWidth="1"/>
    <col min="15364" max="15364" width="10.33203125" customWidth="1"/>
    <col min="15365" max="15365" width="10.44140625" customWidth="1"/>
    <col min="15366" max="15367" width="9.5546875" customWidth="1"/>
    <col min="15368" max="15368" width="45" customWidth="1"/>
    <col min="15369" max="15369" width="62" customWidth="1"/>
    <col min="15370" max="15370" width="11.109375" customWidth="1"/>
    <col min="15616" max="15616" width="45" customWidth="1"/>
    <col min="15617" max="15617" width="10" customWidth="1"/>
    <col min="15618" max="15618" width="9.6640625" customWidth="1"/>
    <col min="15619" max="15619" width="9.5546875" customWidth="1"/>
    <col min="15620" max="15620" width="10.33203125" customWidth="1"/>
    <col min="15621" max="15621" width="10.44140625" customWidth="1"/>
    <col min="15622" max="15623" width="9.5546875" customWidth="1"/>
    <col min="15624" max="15624" width="45" customWidth="1"/>
    <col min="15625" max="15625" width="62" customWidth="1"/>
    <col min="15626" max="15626" width="11.109375" customWidth="1"/>
    <col min="15872" max="15872" width="45" customWidth="1"/>
    <col min="15873" max="15873" width="10" customWidth="1"/>
    <col min="15874" max="15874" width="9.6640625" customWidth="1"/>
    <col min="15875" max="15875" width="9.5546875" customWidth="1"/>
    <col min="15876" max="15876" width="10.33203125" customWidth="1"/>
    <col min="15877" max="15877" width="10.44140625" customWidth="1"/>
    <col min="15878" max="15879" width="9.5546875" customWidth="1"/>
    <col min="15880" max="15880" width="45" customWidth="1"/>
    <col min="15881" max="15881" width="62" customWidth="1"/>
    <col min="15882" max="15882" width="11.109375" customWidth="1"/>
    <col min="16128" max="16128" width="45" customWidth="1"/>
    <col min="16129" max="16129" width="10" customWidth="1"/>
    <col min="16130" max="16130" width="9.6640625" customWidth="1"/>
    <col min="16131" max="16131" width="9.5546875" customWidth="1"/>
    <col min="16132" max="16132" width="10.33203125" customWidth="1"/>
    <col min="16133" max="16133" width="10.44140625" customWidth="1"/>
    <col min="16134" max="16135" width="9.5546875" customWidth="1"/>
    <col min="16136" max="16136" width="45" customWidth="1"/>
    <col min="16137" max="16137" width="62" customWidth="1"/>
    <col min="16138" max="16138" width="11.109375" customWidth="1"/>
  </cols>
  <sheetData>
    <row r="1" spans="1:9" ht="38.25" customHeight="1" outlineLevel="1" thickBot="1">
      <c r="A1" s="1" t="s">
        <v>149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</row>
    <row r="2" spans="1:9" ht="15" customHeight="1">
      <c r="A2" s="157" t="s">
        <v>150</v>
      </c>
      <c r="B2" s="158">
        <v>483003</v>
      </c>
      <c r="C2" s="158">
        <v>526900</v>
      </c>
      <c r="D2" s="158">
        <v>600666</v>
      </c>
      <c r="E2" s="158">
        <v>684759</v>
      </c>
      <c r="F2" s="158">
        <v>780626</v>
      </c>
      <c r="G2" s="159">
        <v>889914</v>
      </c>
      <c r="H2" s="159">
        <v>889914</v>
      </c>
    </row>
    <row r="3" spans="1:9">
      <c r="A3" s="160" t="s">
        <v>151</v>
      </c>
      <c r="B3" s="158">
        <v>0</v>
      </c>
      <c r="C3" s="158">
        <v>0</v>
      </c>
      <c r="D3" s="158">
        <v>0</v>
      </c>
      <c r="E3" s="158">
        <v>0</v>
      </c>
      <c r="F3" s="158">
        <v>0</v>
      </c>
      <c r="G3" s="159">
        <v>0</v>
      </c>
      <c r="H3" s="159">
        <v>0</v>
      </c>
    </row>
    <row r="4" spans="1:9">
      <c r="A4" s="161" t="s">
        <v>152</v>
      </c>
      <c r="B4" s="162"/>
      <c r="C4" s="162"/>
      <c r="D4" s="162"/>
      <c r="E4" s="162"/>
      <c r="F4" s="162"/>
      <c r="G4" s="163"/>
      <c r="H4" s="163"/>
      <c r="I4" s="8"/>
    </row>
    <row r="5" spans="1:9">
      <c r="A5" s="160" t="s">
        <v>153</v>
      </c>
      <c r="B5" s="164"/>
      <c r="C5" s="165"/>
      <c r="D5" s="165"/>
      <c r="E5" s="165"/>
      <c r="F5" s="165"/>
      <c r="G5" s="166"/>
      <c r="H5" s="166"/>
      <c r="I5" s="8"/>
    </row>
    <row r="6" spans="1:9">
      <c r="A6" s="157" t="s">
        <v>154</v>
      </c>
      <c r="B6" s="167">
        <v>481267</v>
      </c>
      <c r="C6" s="167">
        <v>502000</v>
      </c>
      <c r="D6" s="167">
        <v>592360</v>
      </c>
      <c r="E6" s="167">
        <v>698985</v>
      </c>
      <c r="F6" s="167">
        <v>780000</v>
      </c>
      <c r="G6" s="168">
        <v>888000</v>
      </c>
      <c r="H6" s="168">
        <v>888000</v>
      </c>
    </row>
    <row r="7" spans="1:9">
      <c r="A7" s="169" t="s">
        <v>155</v>
      </c>
      <c r="B7" s="170">
        <v>8915</v>
      </c>
      <c r="C7" s="171">
        <v>9000</v>
      </c>
      <c r="D7" s="171">
        <v>9000</v>
      </c>
      <c r="E7" s="171">
        <v>9000</v>
      </c>
      <c r="F7" s="171">
        <v>9000</v>
      </c>
      <c r="G7" s="172">
        <v>9000</v>
      </c>
      <c r="H7" s="172">
        <v>9000</v>
      </c>
      <c r="I7" s="8"/>
    </row>
    <row r="8" spans="1:9">
      <c r="A8" s="173" t="s">
        <v>156</v>
      </c>
      <c r="B8" s="164"/>
      <c r="C8" s="174"/>
      <c r="D8" s="174"/>
      <c r="E8" s="174"/>
      <c r="F8" s="174"/>
      <c r="G8" s="175"/>
      <c r="H8" s="175"/>
      <c r="I8" s="8"/>
    </row>
    <row r="9" spans="1:9">
      <c r="A9" s="161" t="s">
        <v>157</v>
      </c>
      <c r="B9" s="176"/>
      <c r="C9" s="177"/>
      <c r="D9" s="177"/>
      <c r="E9" s="177"/>
      <c r="F9" s="177"/>
      <c r="G9" s="178"/>
      <c r="H9" s="178"/>
    </row>
    <row r="10" spans="1:9">
      <c r="A10" s="179" t="s">
        <v>11</v>
      </c>
      <c r="B10" s="9">
        <f t="shared" ref="B10:G10" si="0">B2-B6</f>
        <v>1736</v>
      </c>
      <c r="C10" s="9">
        <f t="shared" si="0"/>
        <v>24900</v>
      </c>
      <c r="D10" s="9">
        <f t="shared" si="0"/>
        <v>8306</v>
      </c>
      <c r="E10" s="180">
        <f t="shared" si="0"/>
        <v>-14226</v>
      </c>
      <c r="F10" s="9">
        <f t="shared" si="0"/>
        <v>626</v>
      </c>
      <c r="G10" s="10">
        <f t="shared" si="0"/>
        <v>1914</v>
      </c>
      <c r="H10" s="10">
        <f>H2-H6</f>
        <v>1914</v>
      </c>
    </row>
    <row r="11" spans="1:9">
      <c r="A11" s="17" t="s">
        <v>158</v>
      </c>
      <c r="B11" s="167"/>
      <c r="C11" s="167"/>
      <c r="D11" s="167"/>
      <c r="E11" s="167"/>
      <c r="F11" s="167"/>
      <c r="G11" s="168"/>
      <c r="H11" s="168"/>
      <c r="I11" s="221"/>
    </row>
    <row r="12" spans="1:9">
      <c r="A12" s="17" t="s">
        <v>13</v>
      </c>
      <c r="B12" s="9">
        <f t="shared" ref="B12:G12" si="1">B10+B11</f>
        <v>1736</v>
      </c>
      <c r="C12" s="9">
        <f t="shared" si="1"/>
        <v>24900</v>
      </c>
      <c r="D12" s="9">
        <f t="shared" si="1"/>
        <v>8306</v>
      </c>
      <c r="E12" s="9">
        <f t="shared" si="1"/>
        <v>-14226</v>
      </c>
      <c r="F12" s="9">
        <f t="shared" si="1"/>
        <v>626</v>
      </c>
      <c r="G12" s="10">
        <f t="shared" si="1"/>
        <v>1914</v>
      </c>
      <c r="H12" s="10">
        <f>H10+H11</f>
        <v>1914</v>
      </c>
    </row>
    <row r="13" spans="1:9">
      <c r="A13" s="17" t="s">
        <v>159</v>
      </c>
      <c r="B13" s="167"/>
      <c r="C13" s="167"/>
      <c r="D13" s="167"/>
      <c r="E13" s="167"/>
      <c r="F13" s="167"/>
      <c r="G13" s="168"/>
      <c r="H13" s="168"/>
    </row>
    <row r="14" spans="1:9" ht="27">
      <c r="A14" s="18" t="s">
        <v>15</v>
      </c>
      <c r="B14" s="164">
        <v>1804</v>
      </c>
      <c r="C14" s="165">
        <v>15000</v>
      </c>
      <c r="D14" s="165">
        <v>5000</v>
      </c>
      <c r="E14" s="165">
        <v>-5000</v>
      </c>
      <c r="F14" s="165">
        <v>1000</v>
      </c>
      <c r="G14" s="166">
        <v>9000</v>
      </c>
      <c r="H14" s="166">
        <v>9000</v>
      </c>
    </row>
    <row r="15" spans="1:9">
      <c r="A15" s="18" t="s">
        <v>16</v>
      </c>
      <c r="B15" s="164">
        <v>68</v>
      </c>
      <c r="C15" s="165">
        <v>-9900</v>
      </c>
      <c r="D15" s="165">
        <v>-3306</v>
      </c>
      <c r="E15" s="165">
        <v>9226</v>
      </c>
      <c r="F15" s="165">
        <v>374</v>
      </c>
      <c r="G15" s="166">
        <v>7086</v>
      </c>
      <c r="H15" s="166">
        <v>7086</v>
      </c>
    </row>
    <row r="16" spans="1:9">
      <c r="A16" s="181"/>
      <c r="B16" s="182"/>
      <c r="C16" s="182"/>
      <c r="D16" s="182"/>
      <c r="E16" s="182"/>
      <c r="F16" s="182"/>
      <c r="G16" s="183"/>
      <c r="H16" s="183"/>
    </row>
    <row r="17" spans="1:8" ht="17.25" customHeight="1">
      <c r="A17" s="18" t="s">
        <v>17</v>
      </c>
      <c r="B17" s="167">
        <v>58512</v>
      </c>
      <c r="C17" s="22">
        <f t="shared" ref="C17:H17" si="2">B17+C14</f>
        <v>73512</v>
      </c>
      <c r="D17" s="22">
        <f t="shared" si="2"/>
        <v>78512</v>
      </c>
      <c r="E17" s="22">
        <f t="shared" si="2"/>
        <v>73512</v>
      </c>
      <c r="F17" s="22">
        <f t="shared" si="2"/>
        <v>74512</v>
      </c>
      <c r="G17" s="184">
        <f t="shared" si="2"/>
        <v>83512</v>
      </c>
      <c r="H17" s="184">
        <f t="shared" si="2"/>
        <v>92512</v>
      </c>
    </row>
    <row r="18" spans="1:8">
      <c r="A18" s="24" t="s">
        <v>18</v>
      </c>
      <c r="B18" s="185">
        <v>0</v>
      </c>
      <c r="C18" s="186">
        <f t="shared" ref="C18:H18" si="3">B18+C13</f>
        <v>0</v>
      </c>
      <c r="D18" s="186">
        <f t="shared" si="3"/>
        <v>0</v>
      </c>
      <c r="E18" s="186">
        <f t="shared" si="3"/>
        <v>0</v>
      </c>
      <c r="F18" s="186">
        <f t="shared" si="3"/>
        <v>0</v>
      </c>
      <c r="G18" s="186">
        <f t="shared" si="3"/>
        <v>0</v>
      </c>
      <c r="H18" s="186">
        <f t="shared" si="3"/>
        <v>0</v>
      </c>
    </row>
    <row r="19" spans="1:8" ht="20.399999999999999">
      <c r="A19" s="25" t="s">
        <v>19</v>
      </c>
      <c r="B19" s="185"/>
      <c r="C19" s="165"/>
      <c r="D19" s="187"/>
      <c r="E19" s="187"/>
      <c r="F19" s="187"/>
      <c r="G19" s="188"/>
      <c r="H19" s="188"/>
    </row>
    <row r="20" spans="1:8">
      <c r="A20" s="25" t="s">
        <v>160</v>
      </c>
      <c r="B20" s="185"/>
      <c r="C20" s="165"/>
      <c r="D20" s="187"/>
      <c r="E20" s="187"/>
      <c r="F20" s="187"/>
      <c r="G20" s="188"/>
      <c r="H20" s="188"/>
    </row>
    <row r="21" spans="1:8">
      <c r="A21" s="189" t="s">
        <v>161</v>
      </c>
      <c r="B21" s="190"/>
      <c r="C21" s="191"/>
      <c r="D21" s="192"/>
      <c r="E21" s="192"/>
      <c r="F21" s="192"/>
      <c r="G21" s="193"/>
      <c r="H21" s="193"/>
    </row>
    <row r="22" spans="1:8" ht="27.75" customHeight="1">
      <c r="A22" s="18" t="s">
        <v>20</v>
      </c>
      <c r="B22" s="52">
        <f t="shared" ref="B22:G22" si="4">IF(B18-B17&lt;0,0,B18-B17)</f>
        <v>0</v>
      </c>
      <c r="C22" s="52">
        <f t="shared" si="4"/>
        <v>0</v>
      </c>
      <c r="D22" s="52">
        <f t="shared" si="4"/>
        <v>0</v>
      </c>
      <c r="E22" s="52">
        <f t="shared" si="4"/>
        <v>0</v>
      </c>
      <c r="F22" s="52">
        <f t="shared" si="4"/>
        <v>0</v>
      </c>
      <c r="G22" s="30">
        <f t="shared" si="4"/>
        <v>0</v>
      </c>
      <c r="H22" s="30">
        <f>IF(H18-H17&lt;0,0,H18-H17)</f>
        <v>0</v>
      </c>
    </row>
    <row r="23" spans="1:8" ht="15" thickBot="1">
      <c r="A23" s="194" t="s">
        <v>21</v>
      </c>
      <c r="B23" s="195">
        <f t="shared" ref="B23:G23" si="5">B22/B2</f>
        <v>0</v>
      </c>
      <c r="C23" s="195">
        <f t="shared" si="5"/>
        <v>0</v>
      </c>
      <c r="D23" s="195">
        <f t="shared" si="5"/>
        <v>0</v>
      </c>
      <c r="E23" s="195">
        <f t="shared" si="5"/>
        <v>0</v>
      </c>
      <c r="F23" s="195">
        <f t="shared" si="5"/>
        <v>0</v>
      </c>
      <c r="G23" s="196">
        <f t="shared" si="5"/>
        <v>0</v>
      </c>
      <c r="H23" s="196">
        <f>H22/H2</f>
        <v>0</v>
      </c>
    </row>
    <row r="24" spans="1:8" s="8" customFormat="1" ht="13.8" thickBot="1">
      <c r="A24" s="197"/>
      <c r="B24" s="198">
        <f t="shared" ref="B24:G24" si="6">B12+B13-B14+B15</f>
        <v>0</v>
      </c>
      <c r="C24" s="198">
        <f t="shared" si="6"/>
        <v>0</v>
      </c>
      <c r="D24" s="198">
        <f t="shared" si="6"/>
        <v>0</v>
      </c>
      <c r="E24" s="198">
        <f t="shared" si="6"/>
        <v>0</v>
      </c>
      <c r="F24" s="198">
        <f t="shared" si="6"/>
        <v>0</v>
      </c>
      <c r="G24" s="198">
        <f t="shared" si="6"/>
        <v>0</v>
      </c>
      <c r="H24" s="198">
        <f>H12+H13-H14+H15</f>
        <v>0</v>
      </c>
    </row>
    <row r="25" spans="1:8" s="8" customFormat="1" ht="39.6" collapsed="1">
      <c r="A25" s="1" t="s">
        <v>162</v>
      </c>
      <c r="B25" s="199" t="s">
        <v>163</v>
      </c>
      <c r="C25" s="199" t="s">
        <v>164</v>
      </c>
      <c r="D25" s="199" t="s">
        <v>165</v>
      </c>
      <c r="E25" s="199" t="s">
        <v>166</v>
      </c>
      <c r="F25" s="199" t="s">
        <v>167</v>
      </c>
      <c r="G25" s="200" t="s">
        <v>168</v>
      </c>
      <c r="H25" s="200" t="s">
        <v>168</v>
      </c>
    </row>
    <row r="26" spans="1:8" s="8" customFormat="1" ht="13.2" hidden="1" outlineLevel="1">
      <c r="A26" s="157" t="s">
        <v>150</v>
      </c>
      <c r="B26" s="158"/>
      <c r="C26" s="158"/>
      <c r="D26" s="158"/>
      <c r="E26" s="158"/>
      <c r="F26" s="158"/>
      <c r="G26" s="159"/>
      <c r="H26" s="159"/>
    </row>
    <row r="27" spans="1:8" s="8" customFormat="1" ht="13.2" hidden="1" outlineLevel="1">
      <c r="A27" s="160" t="s">
        <v>151</v>
      </c>
      <c r="B27" s="164"/>
      <c r="C27" s="165"/>
      <c r="D27" s="165"/>
      <c r="E27" s="165"/>
      <c r="F27" s="165"/>
      <c r="G27" s="166"/>
      <c r="H27" s="166"/>
    </row>
    <row r="28" spans="1:8" hidden="1" outlineLevel="1">
      <c r="A28" s="201" t="s">
        <v>169</v>
      </c>
      <c r="B28" s="162"/>
      <c r="C28" s="162"/>
      <c r="D28" s="162"/>
      <c r="E28" s="162"/>
      <c r="F28" s="162"/>
      <c r="G28" s="163"/>
      <c r="H28" s="163"/>
    </row>
    <row r="29" spans="1:8" hidden="1" outlineLevel="1">
      <c r="A29" s="160" t="s">
        <v>153</v>
      </c>
      <c r="B29" s="164"/>
      <c r="C29" s="165"/>
      <c r="D29" s="165"/>
      <c r="E29" s="165"/>
      <c r="F29" s="165"/>
      <c r="G29" s="166"/>
      <c r="H29" s="166"/>
    </row>
    <row r="30" spans="1:8" hidden="1" outlineLevel="1">
      <c r="A30" s="157" t="s">
        <v>154</v>
      </c>
      <c r="B30" s="167"/>
      <c r="C30" s="167"/>
      <c r="D30" s="167"/>
      <c r="E30" s="167"/>
      <c r="F30" s="167"/>
      <c r="G30" s="168"/>
      <c r="H30" s="168"/>
    </row>
    <row r="31" spans="1:8" hidden="1" outlineLevel="1">
      <c r="A31" s="169" t="s">
        <v>155</v>
      </c>
      <c r="B31" s="171"/>
      <c r="C31" s="171"/>
      <c r="D31" s="171"/>
      <c r="E31" s="171"/>
      <c r="F31" s="171"/>
      <c r="G31" s="172"/>
      <c r="H31" s="172"/>
    </row>
    <row r="32" spans="1:8" hidden="1" outlineLevel="1">
      <c r="A32" s="173" t="s">
        <v>156</v>
      </c>
      <c r="B32" s="174"/>
      <c r="C32" s="174"/>
      <c r="D32" s="174"/>
      <c r="E32" s="174"/>
      <c r="F32" s="174"/>
      <c r="G32" s="175"/>
      <c r="H32" s="175"/>
    </row>
    <row r="33" spans="1:8" hidden="1" outlineLevel="1">
      <c r="A33" s="201" t="s">
        <v>170</v>
      </c>
      <c r="B33" s="176"/>
      <c r="C33" s="177"/>
      <c r="D33" s="177"/>
      <c r="E33" s="177"/>
      <c r="F33" s="177"/>
      <c r="G33" s="178"/>
      <c r="H33" s="178"/>
    </row>
    <row r="34" spans="1:8" hidden="1" outlineLevel="1">
      <c r="A34" s="179" t="s">
        <v>11</v>
      </c>
      <c r="B34" s="9">
        <f t="shared" ref="B34:G34" si="7">B26-B30</f>
        <v>0</v>
      </c>
      <c r="C34" s="9">
        <f t="shared" si="7"/>
        <v>0</v>
      </c>
      <c r="D34" s="9">
        <f t="shared" si="7"/>
        <v>0</v>
      </c>
      <c r="E34" s="9">
        <f t="shared" si="7"/>
        <v>0</v>
      </c>
      <c r="F34" s="9">
        <f t="shared" si="7"/>
        <v>0</v>
      </c>
      <c r="G34" s="10">
        <f t="shared" si="7"/>
        <v>0</v>
      </c>
      <c r="H34" s="10">
        <f>H26-H30</f>
        <v>0</v>
      </c>
    </row>
    <row r="35" spans="1:8" hidden="1" outlineLevel="1">
      <c r="A35" s="202" t="s">
        <v>158</v>
      </c>
      <c r="B35" s="167"/>
      <c r="C35" s="167"/>
      <c r="D35" s="167"/>
      <c r="E35" s="167"/>
      <c r="F35" s="167"/>
      <c r="G35" s="168"/>
      <c r="H35" s="168"/>
    </row>
    <row r="36" spans="1:8" hidden="1" outlineLevel="1">
      <c r="A36" s="17" t="s">
        <v>13</v>
      </c>
      <c r="B36" s="9">
        <f t="shared" ref="B36:G36" si="8">B34+B35</f>
        <v>0</v>
      </c>
      <c r="C36" s="9">
        <f t="shared" si="8"/>
        <v>0</v>
      </c>
      <c r="D36" s="9">
        <f t="shared" si="8"/>
        <v>0</v>
      </c>
      <c r="E36" s="9">
        <f t="shared" si="8"/>
        <v>0</v>
      </c>
      <c r="F36" s="9">
        <f t="shared" si="8"/>
        <v>0</v>
      </c>
      <c r="G36" s="10">
        <f t="shared" si="8"/>
        <v>0</v>
      </c>
      <c r="H36" s="10">
        <f>H34+H35</f>
        <v>0</v>
      </c>
    </row>
    <row r="37" spans="1:8" hidden="1" outlineLevel="1">
      <c r="A37" s="17" t="s">
        <v>159</v>
      </c>
      <c r="B37" s="167">
        <v>0</v>
      </c>
      <c r="C37" s="167"/>
      <c r="D37" s="167"/>
      <c r="E37" s="167"/>
      <c r="F37" s="167"/>
      <c r="G37" s="168"/>
      <c r="H37" s="168"/>
    </row>
    <row r="38" spans="1:8" ht="27" hidden="1" outlineLevel="1">
      <c r="A38" s="18" t="s">
        <v>15</v>
      </c>
      <c r="B38" s="164"/>
      <c r="C38" s="165"/>
      <c r="D38" s="165"/>
      <c r="E38" s="165"/>
      <c r="F38" s="165"/>
      <c r="G38" s="166"/>
      <c r="H38" s="166"/>
    </row>
    <row r="39" spans="1:8" ht="27" hidden="1" outlineLevel="1">
      <c r="A39" s="18" t="s">
        <v>171</v>
      </c>
      <c r="B39" s="164"/>
      <c r="C39" s="165"/>
      <c r="D39" s="165"/>
      <c r="E39" s="165"/>
      <c r="F39" s="165"/>
      <c r="G39" s="166"/>
      <c r="H39" s="166"/>
    </row>
    <row r="40" spans="1:8" hidden="1" outlineLevel="1">
      <c r="A40" s="181"/>
      <c r="B40" s="182"/>
      <c r="C40" s="182"/>
      <c r="D40" s="182"/>
      <c r="E40" s="182"/>
      <c r="F40" s="182"/>
      <c r="G40" s="183"/>
      <c r="H40" s="183"/>
    </row>
    <row r="41" spans="1:8" hidden="1" outlineLevel="1">
      <c r="A41" s="18" t="s">
        <v>17</v>
      </c>
      <c r="B41" s="167"/>
      <c r="C41" s="22">
        <f t="shared" ref="C41:H41" si="9">B41+C38</f>
        <v>0</v>
      </c>
      <c r="D41" s="22">
        <f t="shared" si="9"/>
        <v>0</v>
      </c>
      <c r="E41" s="22">
        <f t="shared" si="9"/>
        <v>0</v>
      </c>
      <c r="F41" s="22">
        <f t="shared" si="9"/>
        <v>0</v>
      </c>
      <c r="G41" s="184">
        <f t="shared" si="9"/>
        <v>0</v>
      </c>
      <c r="H41" s="184">
        <f t="shared" si="9"/>
        <v>0</v>
      </c>
    </row>
    <row r="42" spans="1:8" hidden="1" outlineLevel="1">
      <c r="A42" s="24" t="s">
        <v>18</v>
      </c>
      <c r="B42" s="185"/>
      <c r="C42" s="186">
        <f t="shared" ref="C42:H42" si="10">B42+C37</f>
        <v>0</v>
      </c>
      <c r="D42" s="186">
        <f t="shared" si="10"/>
        <v>0</v>
      </c>
      <c r="E42" s="186">
        <f t="shared" si="10"/>
        <v>0</v>
      </c>
      <c r="F42" s="186">
        <f t="shared" si="10"/>
        <v>0</v>
      </c>
      <c r="G42" s="186">
        <f t="shared" si="10"/>
        <v>0</v>
      </c>
      <c r="H42" s="186">
        <f t="shared" si="10"/>
        <v>0</v>
      </c>
    </row>
    <row r="43" spans="1:8" ht="24.75" hidden="1" customHeight="1" outlineLevel="1">
      <c r="A43" s="25" t="s">
        <v>19</v>
      </c>
      <c r="B43" s="203"/>
      <c r="C43" s="187"/>
      <c r="D43" s="187"/>
      <c r="E43" s="187"/>
      <c r="F43" s="187"/>
      <c r="G43" s="204"/>
      <c r="H43" s="204"/>
    </row>
    <row r="44" spans="1:8" hidden="1" outlineLevel="1">
      <c r="A44" s="25" t="s">
        <v>160</v>
      </c>
      <c r="B44" s="185"/>
      <c r="C44" s="165"/>
      <c r="D44" s="187"/>
      <c r="E44" s="187"/>
      <c r="F44" s="187"/>
      <c r="G44" s="204"/>
      <c r="H44" s="204"/>
    </row>
    <row r="45" spans="1:8" hidden="1" outlineLevel="1">
      <c r="A45" s="189" t="s">
        <v>161</v>
      </c>
      <c r="B45" s="190"/>
      <c r="C45" s="191"/>
      <c r="D45" s="192"/>
      <c r="E45" s="192"/>
      <c r="F45" s="192"/>
      <c r="G45" s="205"/>
      <c r="H45" s="205"/>
    </row>
    <row r="46" spans="1:8" hidden="1" outlineLevel="1">
      <c r="A46" s="18" t="s">
        <v>20</v>
      </c>
      <c r="B46" s="52">
        <f t="shared" ref="B46:G46" si="11">IF(B42-B41&lt;0,0,B42-B41)</f>
        <v>0</v>
      </c>
      <c r="C46" s="52">
        <f t="shared" si="11"/>
        <v>0</v>
      </c>
      <c r="D46" s="52">
        <f t="shared" si="11"/>
        <v>0</v>
      </c>
      <c r="E46" s="52">
        <f t="shared" si="11"/>
        <v>0</v>
      </c>
      <c r="F46" s="52">
        <f t="shared" si="11"/>
        <v>0</v>
      </c>
      <c r="G46" s="30">
        <f t="shared" si="11"/>
        <v>0</v>
      </c>
      <c r="H46" s="30">
        <f>IF(H42-H41&lt;0,0,H42-H41)</f>
        <v>0</v>
      </c>
    </row>
    <row r="47" spans="1:8" ht="15" hidden="1" outlineLevel="1" thickBot="1">
      <c r="A47" s="194" t="s">
        <v>21</v>
      </c>
      <c r="B47" s="195" t="e">
        <f t="shared" ref="B47:G47" si="12">B46/B26</f>
        <v>#DIV/0!</v>
      </c>
      <c r="C47" s="195" t="e">
        <f t="shared" si="12"/>
        <v>#DIV/0!</v>
      </c>
      <c r="D47" s="195" t="e">
        <f t="shared" si="12"/>
        <v>#DIV/0!</v>
      </c>
      <c r="E47" s="195" t="e">
        <f t="shared" si="12"/>
        <v>#DIV/0!</v>
      </c>
      <c r="F47" s="195" t="e">
        <f t="shared" si="12"/>
        <v>#DIV/0!</v>
      </c>
      <c r="G47" s="196" t="e">
        <f t="shared" si="12"/>
        <v>#DIV/0!</v>
      </c>
      <c r="H47" s="196" t="e">
        <f>H46/H26</f>
        <v>#DIV/0!</v>
      </c>
    </row>
    <row r="48" spans="1:8" ht="15" collapsed="1" thickBot="1">
      <c r="B48" s="198">
        <f t="shared" ref="B48:G48" si="13">B36+B37-B38+B39</f>
        <v>0</v>
      </c>
      <c r="C48" s="198">
        <f t="shared" si="13"/>
        <v>0</v>
      </c>
      <c r="D48" s="198">
        <f t="shared" si="13"/>
        <v>0</v>
      </c>
      <c r="E48" s="198">
        <f t="shared" si="13"/>
        <v>0</v>
      </c>
      <c r="F48" s="198">
        <f t="shared" si="13"/>
        <v>0</v>
      </c>
      <c r="G48" s="198">
        <f t="shared" si="13"/>
        <v>0</v>
      </c>
      <c r="H48" s="198">
        <f>H36+H37-H38+H39</f>
        <v>0</v>
      </c>
    </row>
    <row r="49" spans="1:8" ht="40.200000000000003" collapsed="1">
      <c r="A49" s="1" t="s">
        <v>172</v>
      </c>
      <c r="B49" s="199" t="s">
        <v>163</v>
      </c>
      <c r="C49" s="199" t="s">
        <v>164</v>
      </c>
      <c r="D49" s="199" t="s">
        <v>165</v>
      </c>
      <c r="E49" s="199" t="s">
        <v>166</v>
      </c>
      <c r="F49" s="199" t="s">
        <v>167</v>
      </c>
      <c r="G49" s="200" t="s">
        <v>168</v>
      </c>
      <c r="H49" s="200" t="s">
        <v>168</v>
      </c>
    </row>
    <row r="50" spans="1:8" hidden="1" outlineLevel="1">
      <c r="A50" s="157" t="s">
        <v>150</v>
      </c>
      <c r="B50" s="158"/>
      <c r="C50" s="158"/>
      <c r="D50" s="158"/>
      <c r="E50" s="158"/>
      <c r="F50" s="158"/>
      <c r="G50" s="159"/>
      <c r="H50" s="159"/>
    </row>
    <row r="51" spans="1:8" hidden="1" outlineLevel="1">
      <c r="A51" s="160" t="s">
        <v>151</v>
      </c>
      <c r="B51" s="158"/>
      <c r="C51" s="158"/>
      <c r="D51" s="158"/>
      <c r="E51" s="158"/>
      <c r="F51" s="158"/>
      <c r="G51" s="159"/>
      <c r="H51" s="159"/>
    </row>
    <row r="52" spans="1:8" hidden="1" outlineLevel="1">
      <c r="A52" s="201" t="s">
        <v>169</v>
      </c>
      <c r="B52" s="162"/>
      <c r="C52" s="162"/>
      <c r="D52" s="162"/>
      <c r="E52" s="162"/>
      <c r="F52" s="162"/>
      <c r="G52" s="163"/>
      <c r="H52" s="163"/>
    </row>
    <row r="53" spans="1:8" hidden="1" outlineLevel="1">
      <c r="A53" s="160" t="s">
        <v>153</v>
      </c>
      <c r="B53" s="164"/>
      <c r="C53" s="165"/>
      <c r="D53" s="165"/>
      <c r="E53" s="165"/>
      <c r="F53" s="165"/>
      <c r="G53" s="166"/>
      <c r="H53" s="166"/>
    </row>
    <row r="54" spans="1:8" hidden="1" outlineLevel="1">
      <c r="A54" s="157" t="s">
        <v>154</v>
      </c>
      <c r="B54" s="167"/>
      <c r="C54" s="167"/>
      <c r="D54" s="167"/>
      <c r="E54" s="167"/>
      <c r="F54" s="167"/>
      <c r="G54" s="168"/>
      <c r="H54" s="168"/>
    </row>
    <row r="55" spans="1:8" hidden="1" outlineLevel="1">
      <c r="A55" s="207" t="s">
        <v>155</v>
      </c>
      <c r="B55" s="171"/>
      <c r="C55" s="171"/>
      <c r="D55" s="171"/>
      <c r="E55" s="171"/>
      <c r="F55" s="171"/>
      <c r="G55" s="172"/>
      <c r="H55" s="172"/>
    </row>
    <row r="56" spans="1:8" hidden="1" outlineLevel="1">
      <c r="A56" s="207" t="s">
        <v>156</v>
      </c>
      <c r="B56" s="174"/>
      <c r="C56" s="174"/>
      <c r="D56" s="174"/>
      <c r="E56" s="174"/>
      <c r="F56" s="174"/>
      <c r="G56" s="175"/>
      <c r="H56" s="175"/>
    </row>
    <row r="57" spans="1:8" hidden="1" outlineLevel="1">
      <c r="A57" s="201" t="s">
        <v>170</v>
      </c>
      <c r="B57" s="176"/>
      <c r="C57" s="177"/>
      <c r="D57" s="177"/>
      <c r="E57" s="177"/>
      <c r="F57" s="177"/>
      <c r="G57" s="178"/>
      <c r="H57" s="178"/>
    </row>
    <row r="58" spans="1:8" hidden="1" outlineLevel="1">
      <c r="A58" s="208" t="s">
        <v>11</v>
      </c>
      <c r="B58" s="9">
        <f t="shared" ref="B58:G58" si="14">B50-B54</f>
        <v>0</v>
      </c>
      <c r="C58" s="9">
        <f t="shared" si="14"/>
        <v>0</v>
      </c>
      <c r="D58" s="9">
        <f t="shared" si="14"/>
        <v>0</v>
      </c>
      <c r="E58" s="9">
        <f t="shared" si="14"/>
        <v>0</v>
      </c>
      <c r="F58" s="9">
        <f t="shared" si="14"/>
        <v>0</v>
      </c>
      <c r="G58" s="10">
        <f t="shared" si="14"/>
        <v>0</v>
      </c>
      <c r="H58" s="10">
        <f>H50-H54</f>
        <v>0</v>
      </c>
    </row>
    <row r="59" spans="1:8" hidden="1" outlineLevel="1">
      <c r="A59" s="17" t="s">
        <v>158</v>
      </c>
      <c r="B59" s="167"/>
      <c r="C59" s="167"/>
      <c r="D59" s="167"/>
      <c r="E59" s="167"/>
      <c r="F59" s="167"/>
      <c r="G59" s="168"/>
      <c r="H59" s="168"/>
    </row>
    <row r="60" spans="1:8" hidden="1" outlineLevel="1">
      <c r="A60" s="17" t="s">
        <v>13</v>
      </c>
      <c r="B60" s="9">
        <f t="shared" ref="B60:G60" si="15">B58+B59</f>
        <v>0</v>
      </c>
      <c r="C60" s="9">
        <f t="shared" si="15"/>
        <v>0</v>
      </c>
      <c r="D60" s="9">
        <f t="shared" si="15"/>
        <v>0</v>
      </c>
      <c r="E60" s="9">
        <f t="shared" si="15"/>
        <v>0</v>
      </c>
      <c r="F60" s="9">
        <f t="shared" si="15"/>
        <v>0</v>
      </c>
      <c r="G60" s="10">
        <f t="shared" si="15"/>
        <v>0</v>
      </c>
      <c r="H60" s="10">
        <f>H58+H59</f>
        <v>0</v>
      </c>
    </row>
    <row r="61" spans="1:8" hidden="1" outlineLevel="1">
      <c r="A61" s="17" t="s">
        <v>159</v>
      </c>
      <c r="B61" s="167"/>
      <c r="C61" s="167"/>
      <c r="D61" s="167"/>
      <c r="E61" s="167"/>
      <c r="F61" s="167"/>
      <c r="G61" s="168"/>
      <c r="H61" s="168"/>
    </row>
    <row r="62" spans="1:8" ht="27" hidden="1" outlineLevel="1">
      <c r="A62" s="18" t="s">
        <v>15</v>
      </c>
      <c r="B62" s="164"/>
      <c r="C62" s="165"/>
      <c r="D62" s="165"/>
      <c r="E62" s="165"/>
      <c r="F62" s="165"/>
      <c r="G62" s="166"/>
      <c r="H62" s="166"/>
    </row>
    <row r="63" spans="1:8" ht="27" hidden="1" outlineLevel="1">
      <c r="A63" s="18" t="s">
        <v>171</v>
      </c>
      <c r="B63" s="164"/>
      <c r="C63" s="165"/>
      <c r="D63" s="165"/>
      <c r="E63" s="165"/>
      <c r="F63" s="165"/>
      <c r="G63" s="166"/>
      <c r="H63" s="166"/>
    </row>
    <row r="64" spans="1:8" ht="24.75" hidden="1" customHeight="1" outlineLevel="1">
      <c r="A64" s="181"/>
      <c r="B64" s="182"/>
      <c r="C64" s="182"/>
      <c r="D64" s="182"/>
      <c r="E64" s="182"/>
      <c r="F64" s="182"/>
      <c r="G64" s="183"/>
      <c r="H64" s="183"/>
    </row>
    <row r="65" spans="1:8" hidden="1" outlineLevel="1">
      <c r="A65" s="18" t="s">
        <v>17</v>
      </c>
      <c r="B65" s="167"/>
      <c r="C65" s="22">
        <f t="shared" ref="C65:H65" si="16">B65+C62</f>
        <v>0</v>
      </c>
      <c r="D65" s="22">
        <f t="shared" si="16"/>
        <v>0</v>
      </c>
      <c r="E65" s="22">
        <f t="shared" si="16"/>
        <v>0</v>
      </c>
      <c r="F65" s="22">
        <f t="shared" si="16"/>
        <v>0</v>
      </c>
      <c r="G65" s="184">
        <f t="shared" si="16"/>
        <v>0</v>
      </c>
      <c r="H65" s="184">
        <f t="shared" si="16"/>
        <v>0</v>
      </c>
    </row>
    <row r="66" spans="1:8" hidden="1" outlineLevel="1">
      <c r="A66" s="209" t="s">
        <v>18</v>
      </c>
      <c r="B66" s="185"/>
      <c r="C66" s="186">
        <f t="shared" ref="C66:H66" si="17">B66+C61</f>
        <v>0</v>
      </c>
      <c r="D66" s="186">
        <f t="shared" si="17"/>
        <v>0</v>
      </c>
      <c r="E66" s="186">
        <f t="shared" si="17"/>
        <v>0</v>
      </c>
      <c r="F66" s="186">
        <f t="shared" si="17"/>
        <v>0</v>
      </c>
      <c r="G66" s="186">
        <f t="shared" si="17"/>
        <v>0</v>
      </c>
      <c r="H66" s="186">
        <f t="shared" si="17"/>
        <v>0</v>
      </c>
    </row>
    <row r="67" spans="1:8" ht="20.399999999999999" hidden="1" outlineLevel="1">
      <c r="A67" s="25" t="s">
        <v>19</v>
      </c>
      <c r="B67" s="203"/>
      <c r="C67" s="187"/>
      <c r="D67" s="187"/>
      <c r="E67" s="187"/>
      <c r="F67" s="187"/>
      <c r="G67" s="204"/>
      <c r="H67" s="204"/>
    </row>
    <row r="68" spans="1:8" hidden="1" outlineLevel="1">
      <c r="A68" s="210" t="s">
        <v>160</v>
      </c>
      <c r="B68" s="185"/>
      <c r="C68" s="165"/>
      <c r="D68" s="187"/>
      <c r="E68" s="187"/>
      <c r="F68" s="187"/>
      <c r="G68" s="204"/>
      <c r="H68" s="204"/>
    </row>
    <row r="69" spans="1:8" hidden="1" outlineLevel="1">
      <c r="A69" s="189" t="s">
        <v>161</v>
      </c>
      <c r="B69" s="190"/>
      <c r="C69" s="191"/>
      <c r="D69" s="192"/>
      <c r="E69" s="192"/>
      <c r="F69" s="192"/>
      <c r="G69" s="205"/>
      <c r="H69" s="205"/>
    </row>
    <row r="70" spans="1:8" hidden="1" outlineLevel="1">
      <c r="A70" s="18" t="s">
        <v>20</v>
      </c>
      <c r="B70" s="52">
        <f t="shared" ref="B70:G70" si="18">IF(B66-B65&lt;0,0,B66-B65)</f>
        <v>0</v>
      </c>
      <c r="C70" s="52">
        <f t="shared" si="18"/>
        <v>0</v>
      </c>
      <c r="D70" s="52">
        <f t="shared" si="18"/>
        <v>0</v>
      </c>
      <c r="E70" s="52">
        <f t="shared" si="18"/>
        <v>0</v>
      </c>
      <c r="F70" s="52">
        <f t="shared" si="18"/>
        <v>0</v>
      </c>
      <c r="G70" s="30">
        <f t="shared" si="18"/>
        <v>0</v>
      </c>
      <c r="H70" s="30">
        <f>IF(H66-H65&lt;0,0,H66-H65)</f>
        <v>0</v>
      </c>
    </row>
    <row r="71" spans="1:8" ht="15" hidden="1" outlineLevel="1" thickBot="1">
      <c r="A71" s="194" t="s">
        <v>21</v>
      </c>
      <c r="B71" s="195" t="e">
        <f t="shared" ref="B71:G71" si="19">B70/B50</f>
        <v>#DIV/0!</v>
      </c>
      <c r="C71" s="195" t="e">
        <f t="shared" si="19"/>
        <v>#DIV/0!</v>
      </c>
      <c r="D71" s="195" t="e">
        <f t="shared" si="19"/>
        <v>#DIV/0!</v>
      </c>
      <c r="E71" s="195" t="e">
        <f t="shared" si="19"/>
        <v>#DIV/0!</v>
      </c>
      <c r="F71" s="195" t="e">
        <f t="shared" si="19"/>
        <v>#DIV/0!</v>
      </c>
      <c r="G71" s="196" t="e">
        <f t="shared" si="19"/>
        <v>#DIV/0!</v>
      </c>
      <c r="H71" s="196" t="e">
        <f>H70/H50</f>
        <v>#DIV/0!</v>
      </c>
    </row>
    <row r="72" spans="1:8" ht="15" collapsed="1" thickBot="1">
      <c r="B72" s="198">
        <f t="shared" ref="B72:G72" si="20">B60+B61-B62+B63</f>
        <v>0</v>
      </c>
      <c r="C72" s="198">
        <f t="shared" si="20"/>
        <v>0</v>
      </c>
      <c r="D72" s="198">
        <f t="shared" si="20"/>
        <v>0</v>
      </c>
      <c r="E72" s="198">
        <f t="shared" si="20"/>
        <v>0</v>
      </c>
      <c r="F72" s="198">
        <f t="shared" si="20"/>
        <v>0</v>
      </c>
      <c r="G72" s="198">
        <f t="shared" si="20"/>
        <v>0</v>
      </c>
      <c r="H72" s="198">
        <f>H60+H61-H62+H63</f>
        <v>0</v>
      </c>
    </row>
    <row r="73" spans="1:8" ht="40.200000000000003" collapsed="1">
      <c r="A73" s="1" t="s">
        <v>173</v>
      </c>
      <c r="B73" s="199" t="s">
        <v>163</v>
      </c>
      <c r="C73" s="199" t="s">
        <v>164</v>
      </c>
      <c r="D73" s="199" t="s">
        <v>165</v>
      </c>
      <c r="E73" s="199" t="s">
        <v>166</v>
      </c>
      <c r="F73" s="199" t="s">
        <v>167</v>
      </c>
      <c r="G73" s="200" t="s">
        <v>168</v>
      </c>
      <c r="H73" s="200" t="s">
        <v>168</v>
      </c>
    </row>
    <row r="74" spans="1:8" hidden="1" outlineLevel="1">
      <c r="A74" s="157" t="s">
        <v>150</v>
      </c>
      <c r="B74" s="158"/>
      <c r="C74" s="158"/>
      <c r="D74" s="158"/>
      <c r="E74" s="158"/>
      <c r="F74" s="158"/>
      <c r="G74" s="159"/>
      <c r="H74" s="159"/>
    </row>
    <row r="75" spans="1:8" hidden="1" outlineLevel="1">
      <c r="A75" s="160" t="s">
        <v>151</v>
      </c>
      <c r="B75" s="158"/>
      <c r="C75" s="158"/>
      <c r="D75" s="158"/>
      <c r="E75" s="158"/>
      <c r="F75" s="158"/>
      <c r="G75" s="159"/>
      <c r="H75" s="159"/>
    </row>
    <row r="76" spans="1:8" hidden="1" outlineLevel="1">
      <c r="A76" s="201" t="s">
        <v>169</v>
      </c>
      <c r="B76" s="162"/>
      <c r="C76" s="162"/>
      <c r="D76" s="162"/>
      <c r="E76" s="162"/>
      <c r="F76" s="162"/>
      <c r="G76" s="163"/>
      <c r="H76" s="163"/>
    </row>
    <row r="77" spans="1:8" hidden="1" outlineLevel="1">
      <c r="A77" s="160" t="s">
        <v>153</v>
      </c>
      <c r="B77" s="164"/>
      <c r="C77" s="165"/>
      <c r="D77" s="165"/>
      <c r="E77" s="165"/>
      <c r="F77" s="165"/>
      <c r="G77" s="166"/>
      <c r="H77" s="166"/>
    </row>
    <row r="78" spans="1:8" hidden="1" outlineLevel="1">
      <c r="A78" s="157" t="s">
        <v>154</v>
      </c>
      <c r="B78" s="167"/>
      <c r="C78" s="167"/>
      <c r="D78" s="167"/>
      <c r="E78" s="167"/>
      <c r="F78" s="167"/>
      <c r="G78" s="168"/>
      <c r="H78" s="168"/>
    </row>
    <row r="79" spans="1:8" hidden="1" outlineLevel="1">
      <c r="A79" s="207" t="s">
        <v>155</v>
      </c>
      <c r="B79" s="171"/>
      <c r="C79" s="171"/>
      <c r="D79" s="171"/>
      <c r="E79" s="171"/>
      <c r="F79" s="171"/>
      <c r="G79" s="172"/>
      <c r="H79" s="172"/>
    </row>
    <row r="80" spans="1:8" hidden="1" outlineLevel="1">
      <c r="A80" s="207" t="s">
        <v>156</v>
      </c>
      <c r="B80" s="174"/>
      <c r="C80" s="174"/>
      <c r="D80" s="174"/>
      <c r="E80" s="174"/>
      <c r="F80" s="174"/>
      <c r="G80" s="175"/>
      <c r="H80" s="175"/>
    </row>
    <row r="81" spans="1:8" hidden="1" outlineLevel="1">
      <c r="A81" s="201" t="s">
        <v>170</v>
      </c>
      <c r="B81" s="176"/>
      <c r="C81" s="177"/>
      <c r="D81" s="177"/>
      <c r="E81" s="177"/>
      <c r="F81" s="177"/>
      <c r="G81" s="178"/>
      <c r="H81" s="178"/>
    </row>
    <row r="82" spans="1:8" hidden="1" outlineLevel="1">
      <c r="A82" s="208" t="s">
        <v>11</v>
      </c>
      <c r="B82" s="9">
        <f t="shared" ref="B82:G82" si="21">B74-B78</f>
        <v>0</v>
      </c>
      <c r="C82" s="9">
        <f t="shared" si="21"/>
        <v>0</v>
      </c>
      <c r="D82" s="9">
        <f t="shared" si="21"/>
        <v>0</v>
      </c>
      <c r="E82" s="9">
        <f t="shared" si="21"/>
        <v>0</v>
      </c>
      <c r="F82" s="9">
        <f t="shared" si="21"/>
        <v>0</v>
      </c>
      <c r="G82" s="10">
        <f t="shared" si="21"/>
        <v>0</v>
      </c>
      <c r="H82" s="10">
        <f>H74-H78</f>
        <v>0</v>
      </c>
    </row>
    <row r="83" spans="1:8" hidden="1" outlineLevel="1">
      <c r="A83" s="17" t="s">
        <v>158</v>
      </c>
      <c r="B83" s="167"/>
      <c r="C83" s="167"/>
      <c r="D83" s="167"/>
      <c r="E83" s="167"/>
      <c r="F83" s="167"/>
      <c r="G83" s="168"/>
      <c r="H83" s="168"/>
    </row>
    <row r="84" spans="1:8" hidden="1" outlineLevel="1">
      <c r="A84" s="17" t="s">
        <v>13</v>
      </c>
      <c r="B84" s="9">
        <f t="shared" ref="B84:G84" si="22">B82+B83</f>
        <v>0</v>
      </c>
      <c r="C84" s="9">
        <f t="shared" si="22"/>
        <v>0</v>
      </c>
      <c r="D84" s="9">
        <f t="shared" si="22"/>
        <v>0</v>
      </c>
      <c r="E84" s="9">
        <f t="shared" si="22"/>
        <v>0</v>
      </c>
      <c r="F84" s="9">
        <f t="shared" si="22"/>
        <v>0</v>
      </c>
      <c r="G84" s="10">
        <f t="shared" si="22"/>
        <v>0</v>
      </c>
      <c r="H84" s="10">
        <f>H82+H83</f>
        <v>0</v>
      </c>
    </row>
    <row r="85" spans="1:8" ht="26.25" hidden="1" customHeight="1" outlineLevel="1">
      <c r="A85" s="17" t="s">
        <v>159</v>
      </c>
      <c r="B85" s="167"/>
      <c r="C85" s="167"/>
      <c r="D85" s="167"/>
      <c r="E85" s="167"/>
      <c r="F85" s="167"/>
      <c r="G85" s="168"/>
      <c r="H85" s="168"/>
    </row>
    <row r="86" spans="1:8" ht="27" hidden="1" outlineLevel="1">
      <c r="A86" s="18" t="s">
        <v>15</v>
      </c>
      <c r="B86" s="164"/>
      <c r="C86" s="165"/>
      <c r="D86" s="165"/>
      <c r="E86" s="165"/>
      <c r="F86" s="165"/>
      <c r="G86" s="166"/>
      <c r="H86" s="166"/>
    </row>
    <row r="87" spans="1:8" ht="27" hidden="1" outlineLevel="1">
      <c r="A87" s="18" t="s">
        <v>171</v>
      </c>
      <c r="B87" s="164"/>
      <c r="C87" s="165"/>
      <c r="D87" s="165"/>
      <c r="E87" s="165"/>
      <c r="F87" s="165"/>
      <c r="G87" s="166"/>
      <c r="H87" s="166"/>
    </row>
    <row r="88" spans="1:8" hidden="1" outlineLevel="1">
      <c r="A88" s="181"/>
      <c r="B88" s="182"/>
      <c r="C88" s="182"/>
      <c r="D88" s="182"/>
      <c r="E88" s="182"/>
      <c r="F88" s="182"/>
      <c r="G88" s="183"/>
      <c r="H88" s="183"/>
    </row>
    <row r="89" spans="1:8" hidden="1" outlineLevel="1">
      <c r="A89" s="18" t="s">
        <v>17</v>
      </c>
      <c r="B89" s="167"/>
      <c r="C89" s="22">
        <f t="shared" ref="C89:H89" si="23">B89+C86</f>
        <v>0</v>
      </c>
      <c r="D89" s="22">
        <f t="shared" si="23"/>
        <v>0</v>
      </c>
      <c r="E89" s="22">
        <f t="shared" si="23"/>
        <v>0</v>
      </c>
      <c r="F89" s="22">
        <f t="shared" si="23"/>
        <v>0</v>
      </c>
      <c r="G89" s="184">
        <f t="shared" si="23"/>
        <v>0</v>
      </c>
      <c r="H89" s="184">
        <f t="shared" si="23"/>
        <v>0</v>
      </c>
    </row>
    <row r="90" spans="1:8" hidden="1" outlineLevel="1">
      <c r="A90" s="209" t="s">
        <v>18</v>
      </c>
      <c r="B90" s="185"/>
      <c r="C90" s="186">
        <f t="shared" ref="C90:H90" si="24">B90+C85</f>
        <v>0</v>
      </c>
      <c r="D90" s="186">
        <f t="shared" si="24"/>
        <v>0</v>
      </c>
      <c r="E90" s="186">
        <f t="shared" si="24"/>
        <v>0</v>
      </c>
      <c r="F90" s="186">
        <f t="shared" si="24"/>
        <v>0</v>
      </c>
      <c r="G90" s="186">
        <f t="shared" si="24"/>
        <v>0</v>
      </c>
      <c r="H90" s="186">
        <f t="shared" si="24"/>
        <v>0</v>
      </c>
    </row>
    <row r="91" spans="1:8" ht="20.399999999999999" hidden="1" outlineLevel="1">
      <c r="A91" s="25" t="s">
        <v>19</v>
      </c>
      <c r="B91" s="203"/>
      <c r="C91" s="187"/>
      <c r="D91" s="187"/>
      <c r="E91" s="187"/>
      <c r="F91" s="187"/>
      <c r="G91" s="204"/>
      <c r="H91" s="204"/>
    </row>
    <row r="92" spans="1:8" hidden="1" outlineLevel="1">
      <c r="A92" s="210" t="s">
        <v>160</v>
      </c>
      <c r="B92" s="185"/>
      <c r="C92" s="165"/>
      <c r="D92" s="187"/>
      <c r="E92" s="187"/>
      <c r="F92" s="187"/>
      <c r="G92" s="204"/>
      <c r="H92" s="204"/>
    </row>
    <row r="93" spans="1:8" hidden="1" outlineLevel="1">
      <c r="A93" s="189" t="s">
        <v>161</v>
      </c>
      <c r="B93" s="190"/>
      <c r="C93" s="191"/>
      <c r="D93" s="192"/>
      <c r="E93" s="192"/>
      <c r="F93" s="192"/>
      <c r="G93" s="205"/>
      <c r="H93" s="205"/>
    </row>
    <row r="94" spans="1:8" hidden="1" outlineLevel="1">
      <c r="A94" s="18" t="s">
        <v>20</v>
      </c>
      <c r="B94" s="52">
        <f t="shared" ref="B94:G94" si="25">IF(B90-B89&lt;0,0,B90-B89)</f>
        <v>0</v>
      </c>
      <c r="C94" s="52">
        <f t="shared" si="25"/>
        <v>0</v>
      </c>
      <c r="D94" s="52">
        <f t="shared" si="25"/>
        <v>0</v>
      </c>
      <c r="E94" s="52">
        <f t="shared" si="25"/>
        <v>0</v>
      </c>
      <c r="F94" s="52">
        <f t="shared" si="25"/>
        <v>0</v>
      </c>
      <c r="G94" s="30">
        <f t="shared" si="25"/>
        <v>0</v>
      </c>
      <c r="H94" s="30">
        <f>IF(H90-H89&lt;0,0,H90-H89)</f>
        <v>0</v>
      </c>
    </row>
    <row r="95" spans="1:8" ht="15" hidden="1" outlineLevel="1" thickBot="1">
      <c r="A95" s="194" t="s">
        <v>21</v>
      </c>
      <c r="B95" s="195" t="e">
        <f t="shared" ref="B95:G95" si="26">B94/B74</f>
        <v>#DIV/0!</v>
      </c>
      <c r="C95" s="195" t="e">
        <f t="shared" si="26"/>
        <v>#DIV/0!</v>
      </c>
      <c r="D95" s="195" t="e">
        <f t="shared" si="26"/>
        <v>#DIV/0!</v>
      </c>
      <c r="E95" s="195" t="e">
        <f t="shared" si="26"/>
        <v>#DIV/0!</v>
      </c>
      <c r="F95" s="195" t="e">
        <f t="shared" si="26"/>
        <v>#DIV/0!</v>
      </c>
      <c r="G95" s="196" t="e">
        <f t="shared" si="26"/>
        <v>#DIV/0!</v>
      </c>
      <c r="H95" s="196" t="e">
        <f>H94/H74</f>
        <v>#DIV/0!</v>
      </c>
    </row>
    <row r="96" spans="1:8" ht="15" collapsed="1" thickBot="1">
      <c r="B96" s="198">
        <f t="shared" ref="B96:G96" si="27">B84+B85-B86+B87</f>
        <v>0</v>
      </c>
      <c r="C96" s="198">
        <f t="shared" si="27"/>
        <v>0</v>
      </c>
      <c r="D96" s="198">
        <f t="shared" si="27"/>
        <v>0</v>
      </c>
      <c r="E96" s="198">
        <f t="shared" si="27"/>
        <v>0</v>
      </c>
      <c r="F96" s="198">
        <f t="shared" si="27"/>
        <v>0</v>
      </c>
      <c r="G96" s="198">
        <f t="shared" si="27"/>
        <v>0</v>
      </c>
      <c r="H96" s="198">
        <f>H84+H85-H86+H87</f>
        <v>0</v>
      </c>
    </row>
    <row r="97" spans="1:8" ht="40.200000000000003" collapsed="1">
      <c r="A97" s="1" t="s">
        <v>174</v>
      </c>
      <c r="B97" s="199" t="s">
        <v>163</v>
      </c>
      <c r="C97" s="199" t="s">
        <v>164</v>
      </c>
      <c r="D97" s="199" t="s">
        <v>165</v>
      </c>
      <c r="E97" s="199" t="s">
        <v>166</v>
      </c>
      <c r="F97" s="199" t="s">
        <v>167</v>
      </c>
      <c r="G97" s="200" t="s">
        <v>168</v>
      </c>
      <c r="H97" s="200" t="s">
        <v>168</v>
      </c>
    </row>
    <row r="98" spans="1:8" hidden="1" outlineLevel="1">
      <c r="A98" s="157" t="s">
        <v>150</v>
      </c>
      <c r="B98" s="158"/>
      <c r="C98" s="158"/>
      <c r="D98" s="158"/>
      <c r="E98" s="158"/>
      <c r="F98" s="158"/>
      <c r="G98" s="159"/>
      <c r="H98" s="159"/>
    </row>
    <row r="99" spans="1:8" hidden="1" outlineLevel="1">
      <c r="A99" s="160" t="s">
        <v>151</v>
      </c>
      <c r="B99" s="158"/>
      <c r="C99" s="158"/>
      <c r="D99" s="158"/>
      <c r="E99" s="158"/>
      <c r="F99" s="158"/>
      <c r="G99" s="159"/>
      <c r="H99" s="159"/>
    </row>
    <row r="100" spans="1:8" hidden="1" outlineLevel="1">
      <c r="A100" s="201" t="s">
        <v>169</v>
      </c>
      <c r="B100" s="162"/>
      <c r="C100" s="162"/>
      <c r="D100" s="162"/>
      <c r="E100" s="162"/>
      <c r="F100" s="162"/>
      <c r="G100" s="163"/>
      <c r="H100" s="163"/>
    </row>
    <row r="101" spans="1:8" hidden="1" outlineLevel="1">
      <c r="A101" s="160" t="s">
        <v>153</v>
      </c>
      <c r="B101" s="164"/>
      <c r="C101" s="165"/>
      <c r="D101" s="165"/>
      <c r="E101" s="165"/>
      <c r="F101" s="165"/>
      <c r="G101" s="166"/>
      <c r="H101" s="166"/>
    </row>
    <row r="102" spans="1:8" hidden="1" outlineLevel="1">
      <c r="A102" s="157" t="s">
        <v>154</v>
      </c>
      <c r="B102" s="167"/>
      <c r="C102" s="167"/>
      <c r="D102" s="167"/>
      <c r="E102" s="167"/>
      <c r="F102" s="167"/>
      <c r="G102" s="168"/>
      <c r="H102" s="168"/>
    </row>
    <row r="103" spans="1:8" hidden="1" outlineLevel="1">
      <c r="A103" s="207" t="s">
        <v>155</v>
      </c>
      <c r="B103" s="171"/>
      <c r="C103" s="171"/>
      <c r="D103" s="171"/>
      <c r="E103" s="171"/>
      <c r="F103" s="171"/>
      <c r="G103" s="172"/>
      <c r="H103" s="172"/>
    </row>
    <row r="104" spans="1:8" hidden="1" outlineLevel="1">
      <c r="A104" s="207" t="s">
        <v>156</v>
      </c>
      <c r="B104" s="174"/>
      <c r="C104" s="174"/>
      <c r="D104" s="174"/>
      <c r="E104" s="174"/>
      <c r="F104" s="174"/>
      <c r="G104" s="175"/>
      <c r="H104" s="175"/>
    </row>
    <row r="105" spans="1:8" hidden="1" outlineLevel="1">
      <c r="A105" s="201" t="s">
        <v>170</v>
      </c>
      <c r="B105" s="176"/>
      <c r="C105" s="177"/>
      <c r="D105" s="177"/>
      <c r="E105" s="177"/>
      <c r="F105" s="177"/>
      <c r="G105" s="178"/>
      <c r="H105" s="178"/>
    </row>
    <row r="106" spans="1:8" ht="24.75" hidden="1" customHeight="1" outlineLevel="1">
      <c r="A106" s="208" t="s">
        <v>11</v>
      </c>
      <c r="B106" s="9">
        <f t="shared" ref="B106:G106" si="28">B98-B102</f>
        <v>0</v>
      </c>
      <c r="C106" s="9">
        <f t="shared" si="28"/>
        <v>0</v>
      </c>
      <c r="D106" s="9">
        <f t="shared" si="28"/>
        <v>0</v>
      </c>
      <c r="E106" s="9">
        <f t="shared" si="28"/>
        <v>0</v>
      </c>
      <c r="F106" s="9">
        <f t="shared" si="28"/>
        <v>0</v>
      </c>
      <c r="G106" s="10">
        <f t="shared" si="28"/>
        <v>0</v>
      </c>
      <c r="H106" s="10">
        <f>H98-H102</f>
        <v>0</v>
      </c>
    </row>
    <row r="107" spans="1:8" hidden="1" outlineLevel="1">
      <c r="A107" s="17" t="s">
        <v>158</v>
      </c>
      <c r="B107" s="167"/>
      <c r="C107" s="167"/>
      <c r="D107" s="167"/>
      <c r="E107" s="167"/>
      <c r="F107" s="167"/>
      <c r="G107" s="168"/>
      <c r="H107" s="168"/>
    </row>
    <row r="108" spans="1:8" hidden="1" outlineLevel="1">
      <c r="A108" s="17" t="s">
        <v>13</v>
      </c>
      <c r="B108" s="9">
        <f t="shared" ref="B108:G108" si="29">B106+B107</f>
        <v>0</v>
      </c>
      <c r="C108" s="9">
        <f t="shared" si="29"/>
        <v>0</v>
      </c>
      <c r="D108" s="9">
        <f t="shared" si="29"/>
        <v>0</v>
      </c>
      <c r="E108" s="9">
        <f t="shared" si="29"/>
        <v>0</v>
      </c>
      <c r="F108" s="9">
        <f t="shared" si="29"/>
        <v>0</v>
      </c>
      <c r="G108" s="10">
        <f t="shared" si="29"/>
        <v>0</v>
      </c>
      <c r="H108" s="10">
        <f>H106+H107</f>
        <v>0</v>
      </c>
    </row>
    <row r="109" spans="1:8" hidden="1" outlineLevel="1">
      <c r="A109" s="17" t="s">
        <v>159</v>
      </c>
      <c r="B109" s="167"/>
      <c r="C109" s="167"/>
      <c r="D109" s="167"/>
      <c r="E109" s="167"/>
      <c r="F109" s="167"/>
      <c r="G109" s="168"/>
      <c r="H109" s="168"/>
    </row>
    <row r="110" spans="1:8" ht="27" hidden="1" outlineLevel="1">
      <c r="A110" s="18" t="s">
        <v>15</v>
      </c>
      <c r="B110" s="164"/>
      <c r="C110" s="165"/>
      <c r="D110" s="165"/>
      <c r="E110" s="165"/>
      <c r="F110" s="165"/>
      <c r="G110" s="166"/>
      <c r="H110" s="166"/>
    </row>
    <row r="111" spans="1:8" ht="27" hidden="1" outlineLevel="1">
      <c r="A111" s="18" t="s">
        <v>171</v>
      </c>
      <c r="B111" s="164"/>
      <c r="C111" s="165"/>
      <c r="D111" s="165"/>
      <c r="E111" s="165"/>
      <c r="F111" s="165"/>
      <c r="G111" s="166"/>
      <c r="H111" s="166"/>
    </row>
    <row r="112" spans="1:8" hidden="1" outlineLevel="1">
      <c r="A112" s="181"/>
      <c r="B112" s="182"/>
      <c r="C112" s="182"/>
      <c r="D112" s="182"/>
      <c r="E112" s="182"/>
      <c r="F112" s="182"/>
      <c r="G112" s="183"/>
      <c r="H112" s="183"/>
    </row>
    <row r="113" spans="1:8" hidden="1" outlineLevel="1">
      <c r="A113" s="18" t="s">
        <v>17</v>
      </c>
      <c r="B113" s="167"/>
      <c r="C113" s="22">
        <f t="shared" ref="C113:H113" si="30">B113+C110</f>
        <v>0</v>
      </c>
      <c r="D113" s="22">
        <f t="shared" si="30"/>
        <v>0</v>
      </c>
      <c r="E113" s="22">
        <f t="shared" si="30"/>
        <v>0</v>
      </c>
      <c r="F113" s="22">
        <f t="shared" si="30"/>
        <v>0</v>
      </c>
      <c r="G113" s="184">
        <f t="shared" si="30"/>
        <v>0</v>
      </c>
      <c r="H113" s="184">
        <f t="shared" si="30"/>
        <v>0</v>
      </c>
    </row>
    <row r="114" spans="1:8" hidden="1" outlineLevel="1">
      <c r="A114" s="209" t="s">
        <v>18</v>
      </c>
      <c r="B114" s="185"/>
      <c r="C114" s="186">
        <f t="shared" ref="C114:H114" si="31">B114+C109</f>
        <v>0</v>
      </c>
      <c r="D114" s="186">
        <f t="shared" si="31"/>
        <v>0</v>
      </c>
      <c r="E114" s="186">
        <f t="shared" si="31"/>
        <v>0</v>
      </c>
      <c r="F114" s="186">
        <f t="shared" si="31"/>
        <v>0</v>
      </c>
      <c r="G114" s="186">
        <f t="shared" si="31"/>
        <v>0</v>
      </c>
      <c r="H114" s="186">
        <f t="shared" si="31"/>
        <v>0</v>
      </c>
    </row>
    <row r="115" spans="1:8" ht="20.399999999999999" hidden="1" outlineLevel="1">
      <c r="A115" s="25" t="s">
        <v>19</v>
      </c>
      <c r="B115" s="203"/>
      <c r="C115" s="187"/>
      <c r="D115" s="187"/>
      <c r="E115" s="187"/>
      <c r="F115" s="187"/>
      <c r="G115" s="204"/>
      <c r="H115" s="204"/>
    </row>
    <row r="116" spans="1:8" hidden="1" outlineLevel="1">
      <c r="A116" s="210" t="s">
        <v>160</v>
      </c>
      <c r="B116" s="185"/>
      <c r="C116" s="165"/>
      <c r="D116" s="187"/>
      <c r="E116" s="187"/>
      <c r="F116" s="187"/>
      <c r="G116" s="204"/>
      <c r="H116" s="204"/>
    </row>
    <row r="117" spans="1:8" hidden="1" outlineLevel="1">
      <c r="A117" s="189" t="s">
        <v>161</v>
      </c>
      <c r="B117" s="190"/>
      <c r="C117" s="191"/>
      <c r="D117" s="192"/>
      <c r="E117" s="192"/>
      <c r="F117" s="192"/>
      <c r="G117" s="205"/>
      <c r="H117" s="205"/>
    </row>
    <row r="118" spans="1:8" hidden="1" outlineLevel="1">
      <c r="A118" s="18" t="s">
        <v>20</v>
      </c>
      <c r="B118" s="52">
        <f t="shared" ref="B118:G118" si="32">IF(B114-B113&lt;0,0,B114-B113)</f>
        <v>0</v>
      </c>
      <c r="C118" s="52">
        <f t="shared" si="32"/>
        <v>0</v>
      </c>
      <c r="D118" s="52">
        <f t="shared" si="32"/>
        <v>0</v>
      </c>
      <c r="E118" s="52">
        <f t="shared" si="32"/>
        <v>0</v>
      </c>
      <c r="F118" s="52">
        <f t="shared" si="32"/>
        <v>0</v>
      </c>
      <c r="G118" s="30">
        <f t="shared" si="32"/>
        <v>0</v>
      </c>
      <c r="H118" s="30">
        <f>IF(H114-H113&lt;0,0,H114-H113)</f>
        <v>0</v>
      </c>
    </row>
    <row r="119" spans="1:8" ht="15" hidden="1" outlineLevel="1" thickBot="1">
      <c r="A119" s="194" t="s">
        <v>21</v>
      </c>
      <c r="B119" s="195" t="e">
        <f t="shared" ref="B119:G119" si="33">B118/B98</f>
        <v>#DIV/0!</v>
      </c>
      <c r="C119" s="195" t="e">
        <f t="shared" si="33"/>
        <v>#DIV/0!</v>
      </c>
      <c r="D119" s="195" t="e">
        <f t="shared" si="33"/>
        <v>#DIV/0!</v>
      </c>
      <c r="E119" s="195" t="e">
        <f t="shared" si="33"/>
        <v>#DIV/0!</v>
      </c>
      <c r="F119" s="195" t="e">
        <f t="shared" si="33"/>
        <v>#DIV/0!</v>
      </c>
      <c r="G119" s="196" t="e">
        <f t="shared" si="33"/>
        <v>#DIV/0!</v>
      </c>
      <c r="H119" s="196" t="e">
        <f>H118/H98</f>
        <v>#DIV/0!</v>
      </c>
    </row>
    <row r="120" spans="1:8" ht="15" collapsed="1" thickBot="1">
      <c r="B120" s="198">
        <f t="shared" ref="B120:G120" si="34">B108+B109-B110+B111</f>
        <v>0</v>
      </c>
      <c r="C120" s="198">
        <f t="shared" si="34"/>
        <v>0</v>
      </c>
      <c r="D120" s="198">
        <f t="shared" si="34"/>
        <v>0</v>
      </c>
      <c r="E120" s="198">
        <f t="shared" si="34"/>
        <v>0</v>
      </c>
      <c r="F120" s="198">
        <f t="shared" si="34"/>
        <v>0</v>
      </c>
      <c r="G120" s="198">
        <f t="shared" si="34"/>
        <v>0</v>
      </c>
      <c r="H120" s="198">
        <f>H108+H109-H110+H111</f>
        <v>0</v>
      </c>
    </row>
    <row r="121" spans="1:8" ht="40.200000000000003" collapsed="1">
      <c r="A121" s="1" t="s">
        <v>175</v>
      </c>
      <c r="B121" s="199" t="s">
        <v>163</v>
      </c>
      <c r="C121" s="199" t="s">
        <v>164</v>
      </c>
      <c r="D121" s="199" t="s">
        <v>165</v>
      </c>
      <c r="E121" s="199" t="s">
        <v>166</v>
      </c>
      <c r="F121" s="199" t="s">
        <v>167</v>
      </c>
      <c r="G121" s="200" t="s">
        <v>168</v>
      </c>
      <c r="H121" s="200" t="s">
        <v>168</v>
      </c>
    </row>
    <row r="122" spans="1:8" hidden="1" outlineLevel="1">
      <c r="A122" s="157" t="s">
        <v>150</v>
      </c>
      <c r="B122" s="158"/>
      <c r="C122" s="158"/>
      <c r="D122" s="158"/>
      <c r="E122" s="158"/>
      <c r="F122" s="158"/>
      <c r="G122" s="159"/>
      <c r="H122" s="159"/>
    </row>
    <row r="123" spans="1:8" hidden="1" outlineLevel="1">
      <c r="A123" s="160" t="s">
        <v>151</v>
      </c>
      <c r="B123" s="158"/>
      <c r="C123" s="158"/>
      <c r="D123" s="158"/>
      <c r="E123" s="158"/>
      <c r="F123" s="158"/>
      <c r="G123" s="159"/>
      <c r="H123" s="159"/>
    </row>
    <row r="124" spans="1:8" hidden="1" outlineLevel="1">
      <c r="A124" s="201" t="s">
        <v>169</v>
      </c>
      <c r="B124" s="162"/>
      <c r="C124" s="162"/>
      <c r="D124" s="162"/>
      <c r="E124" s="162"/>
      <c r="F124" s="162"/>
      <c r="G124" s="163"/>
      <c r="H124" s="163"/>
    </row>
    <row r="125" spans="1:8" hidden="1" outlineLevel="1">
      <c r="A125" s="160" t="s">
        <v>153</v>
      </c>
      <c r="B125" s="164"/>
      <c r="C125" s="165"/>
      <c r="D125" s="165"/>
      <c r="E125" s="165"/>
      <c r="F125" s="165"/>
      <c r="G125" s="166"/>
      <c r="H125" s="166"/>
    </row>
    <row r="126" spans="1:8" hidden="1" outlineLevel="1">
      <c r="A126" s="157" t="s">
        <v>154</v>
      </c>
      <c r="B126" s="167"/>
      <c r="C126" s="167"/>
      <c r="D126" s="167"/>
      <c r="E126" s="167"/>
      <c r="F126" s="167"/>
      <c r="G126" s="168"/>
      <c r="H126" s="168"/>
    </row>
    <row r="127" spans="1:8" ht="26.25" hidden="1" customHeight="1" outlineLevel="1">
      <c r="A127" s="207" t="s">
        <v>155</v>
      </c>
      <c r="B127" s="171"/>
      <c r="C127" s="171"/>
      <c r="D127" s="171"/>
      <c r="E127" s="171"/>
      <c r="F127" s="171"/>
      <c r="G127" s="172"/>
      <c r="H127" s="172"/>
    </row>
    <row r="128" spans="1:8" hidden="1" outlineLevel="1">
      <c r="A128" s="207" t="s">
        <v>156</v>
      </c>
      <c r="B128" s="174"/>
      <c r="C128" s="174"/>
      <c r="D128" s="174"/>
      <c r="E128" s="174"/>
      <c r="F128" s="174"/>
      <c r="G128" s="175"/>
      <c r="H128" s="175"/>
    </row>
    <row r="129" spans="1:8" hidden="1" outlineLevel="1">
      <c r="A129" s="201" t="s">
        <v>170</v>
      </c>
      <c r="B129" s="176"/>
      <c r="C129" s="177"/>
      <c r="D129" s="177"/>
      <c r="E129" s="177"/>
      <c r="F129" s="177"/>
      <c r="G129" s="178"/>
      <c r="H129" s="178"/>
    </row>
    <row r="130" spans="1:8" hidden="1" outlineLevel="1">
      <c r="A130" s="208" t="s">
        <v>11</v>
      </c>
      <c r="B130" s="9">
        <f t="shared" ref="B130:G130" si="35">B122-B126</f>
        <v>0</v>
      </c>
      <c r="C130" s="9">
        <f t="shared" si="35"/>
        <v>0</v>
      </c>
      <c r="D130" s="9">
        <f t="shared" si="35"/>
        <v>0</v>
      </c>
      <c r="E130" s="9">
        <f t="shared" si="35"/>
        <v>0</v>
      </c>
      <c r="F130" s="9">
        <f t="shared" si="35"/>
        <v>0</v>
      </c>
      <c r="G130" s="10">
        <f t="shared" si="35"/>
        <v>0</v>
      </c>
      <c r="H130" s="10">
        <f>H122-H126</f>
        <v>0</v>
      </c>
    </row>
    <row r="131" spans="1:8" hidden="1" outlineLevel="1">
      <c r="A131" s="17" t="s">
        <v>158</v>
      </c>
      <c r="B131" s="167"/>
      <c r="C131" s="167"/>
      <c r="D131" s="167"/>
      <c r="E131" s="167"/>
      <c r="F131" s="167"/>
      <c r="G131" s="168"/>
      <c r="H131" s="168"/>
    </row>
    <row r="132" spans="1:8" hidden="1" outlineLevel="1">
      <c r="A132" s="17" t="s">
        <v>13</v>
      </c>
      <c r="B132" s="9">
        <f t="shared" ref="B132:G132" si="36">B130+B131</f>
        <v>0</v>
      </c>
      <c r="C132" s="9">
        <f t="shared" si="36"/>
        <v>0</v>
      </c>
      <c r="D132" s="9">
        <f t="shared" si="36"/>
        <v>0</v>
      </c>
      <c r="E132" s="9">
        <f t="shared" si="36"/>
        <v>0</v>
      </c>
      <c r="F132" s="9">
        <f t="shared" si="36"/>
        <v>0</v>
      </c>
      <c r="G132" s="10">
        <f t="shared" si="36"/>
        <v>0</v>
      </c>
      <c r="H132" s="10">
        <f>H130+H131</f>
        <v>0</v>
      </c>
    </row>
    <row r="133" spans="1:8" hidden="1" outlineLevel="1">
      <c r="A133" s="17" t="s">
        <v>159</v>
      </c>
      <c r="B133" s="167"/>
      <c r="C133" s="167"/>
      <c r="D133" s="167"/>
      <c r="E133" s="167"/>
      <c r="F133" s="167"/>
      <c r="G133" s="168"/>
      <c r="H133" s="168"/>
    </row>
    <row r="134" spans="1:8" ht="27" hidden="1" outlineLevel="1">
      <c r="A134" s="18" t="s">
        <v>15</v>
      </c>
      <c r="B134" s="164"/>
      <c r="C134" s="165"/>
      <c r="D134" s="165"/>
      <c r="E134" s="165"/>
      <c r="F134" s="165"/>
      <c r="G134" s="166"/>
      <c r="H134" s="166"/>
    </row>
    <row r="135" spans="1:8" ht="27" hidden="1" outlineLevel="1">
      <c r="A135" s="18" t="s">
        <v>171</v>
      </c>
      <c r="B135" s="164"/>
      <c r="C135" s="165"/>
      <c r="D135" s="165"/>
      <c r="E135" s="165"/>
      <c r="F135" s="165"/>
      <c r="G135" s="166"/>
      <c r="H135" s="166"/>
    </row>
    <row r="136" spans="1:8" hidden="1" outlineLevel="1">
      <c r="A136" s="181"/>
      <c r="B136" s="182"/>
      <c r="C136" s="182"/>
      <c r="D136" s="182"/>
      <c r="E136" s="182"/>
      <c r="F136" s="182"/>
      <c r="G136" s="183"/>
      <c r="H136" s="183"/>
    </row>
    <row r="137" spans="1:8" hidden="1" outlineLevel="1">
      <c r="A137" s="18" t="s">
        <v>17</v>
      </c>
      <c r="B137" s="167"/>
      <c r="C137" s="22">
        <f t="shared" ref="C137:H137" si="37">B137+C134</f>
        <v>0</v>
      </c>
      <c r="D137" s="22">
        <f t="shared" si="37"/>
        <v>0</v>
      </c>
      <c r="E137" s="22">
        <f t="shared" si="37"/>
        <v>0</v>
      </c>
      <c r="F137" s="22">
        <f t="shared" si="37"/>
        <v>0</v>
      </c>
      <c r="G137" s="184">
        <f t="shared" si="37"/>
        <v>0</v>
      </c>
      <c r="H137" s="184">
        <f t="shared" si="37"/>
        <v>0</v>
      </c>
    </row>
    <row r="138" spans="1:8" hidden="1" outlineLevel="1">
      <c r="A138" s="209" t="s">
        <v>18</v>
      </c>
      <c r="B138" s="185"/>
      <c r="C138" s="186">
        <f t="shared" ref="C138:H138" si="38">B138+C133</f>
        <v>0</v>
      </c>
      <c r="D138" s="186">
        <f t="shared" si="38"/>
        <v>0</v>
      </c>
      <c r="E138" s="186">
        <f t="shared" si="38"/>
        <v>0</v>
      </c>
      <c r="F138" s="186">
        <f t="shared" si="38"/>
        <v>0</v>
      </c>
      <c r="G138" s="186">
        <f t="shared" si="38"/>
        <v>0</v>
      </c>
      <c r="H138" s="186">
        <f t="shared" si="38"/>
        <v>0</v>
      </c>
    </row>
    <row r="139" spans="1:8" ht="20.399999999999999" hidden="1" outlineLevel="1">
      <c r="A139" s="25" t="s">
        <v>19</v>
      </c>
      <c r="B139" s="203"/>
      <c r="C139" s="187"/>
      <c r="D139" s="187"/>
      <c r="E139" s="187"/>
      <c r="F139" s="187"/>
      <c r="G139" s="204"/>
      <c r="H139" s="204"/>
    </row>
    <row r="140" spans="1:8" hidden="1" outlineLevel="1">
      <c r="A140" s="210" t="s">
        <v>160</v>
      </c>
      <c r="B140" s="185"/>
      <c r="C140" s="165"/>
      <c r="D140" s="187"/>
      <c r="E140" s="187"/>
      <c r="F140" s="187"/>
      <c r="G140" s="204"/>
      <c r="H140" s="204"/>
    </row>
    <row r="141" spans="1:8" hidden="1" outlineLevel="1">
      <c r="A141" s="189" t="s">
        <v>161</v>
      </c>
      <c r="B141" s="190"/>
      <c r="C141" s="191"/>
      <c r="D141" s="192"/>
      <c r="E141" s="192"/>
      <c r="F141" s="192"/>
      <c r="G141" s="205"/>
      <c r="H141" s="205"/>
    </row>
    <row r="142" spans="1:8" hidden="1" outlineLevel="1">
      <c r="A142" s="18" t="s">
        <v>20</v>
      </c>
      <c r="B142" s="52">
        <f t="shared" ref="B142:G142" si="39">IF(B138-B137&lt;0,0,B138-B137)</f>
        <v>0</v>
      </c>
      <c r="C142" s="52">
        <f t="shared" si="39"/>
        <v>0</v>
      </c>
      <c r="D142" s="52">
        <f t="shared" si="39"/>
        <v>0</v>
      </c>
      <c r="E142" s="52">
        <f t="shared" si="39"/>
        <v>0</v>
      </c>
      <c r="F142" s="52">
        <f t="shared" si="39"/>
        <v>0</v>
      </c>
      <c r="G142" s="30">
        <f t="shared" si="39"/>
        <v>0</v>
      </c>
      <c r="H142" s="30">
        <f>IF(H138-H137&lt;0,0,H138-H137)</f>
        <v>0</v>
      </c>
    </row>
    <row r="143" spans="1:8" ht="15" hidden="1" outlineLevel="1" thickBot="1">
      <c r="A143" s="194" t="s">
        <v>21</v>
      </c>
      <c r="B143" s="195" t="e">
        <f t="shared" ref="B143:G143" si="40">B142/B122</f>
        <v>#DIV/0!</v>
      </c>
      <c r="C143" s="195" t="e">
        <f t="shared" si="40"/>
        <v>#DIV/0!</v>
      </c>
      <c r="D143" s="195" t="e">
        <f t="shared" si="40"/>
        <v>#DIV/0!</v>
      </c>
      <c r="E143" s="195" t="e">
        <f t="shared" si="40"/>
        <v>#DIV/0!</v>
      </c>
      <c r="F143" s="195" t="e">
        <f t="shared" si="40"/>
        <v>#DIV/0!</v>
      </c>
      <c r="G143" s="196" t="e">
        <f t="shared" si="40"/>
        <v>#DIV/0!</v>
      </c>
      <c r="H143" s="196" t="e">
        <f>H142/H122</f>
        <v>#DIV/0!</v>
      </c>
    </row>
    <row r="144" spans="1:8" ht="15" collapsed="1" thickBot="1">
      <c r="B144" s="198">
        <f t="shared" ref="B144:G144" si="41">B132+B133-B134+B135</f>
        <v>0</v>
      </c>
      <c r="C144" s="198">
        <f t="shared" si="41"/>
        <v>0</v>
      </c>
      <c r="D144" s="198">
        <f t="shared" si="41"/>
        <v>0</v>
      </c>
      <c r="E144" s="198">
        <f t="shared" si="41"/>
        <v>0</v>
      </c>
      <c r="F144" s="198">
        <f t="shared" si="41"/>
        <v>0</v>
      </c>
      <c r="G144" s="198">
        <f t="shared" si="41"/>
        <v>0</v>
      </c>
      <c r="H144" s="198">
        <f>H132+H133-H134+H135</f>
        <v>0</v>
      </c>
    </row>
    <row r="145" spans="1:8" ht="40.200000000000003" collapsed="1">
      <c r="A145" s="1" t="s">
        <v>176</v>
      </c>
      <c r="B145" s="199" t="s">
        <v>163</v>
      </c>
      <c r="C145" s="199" t="s">
        <v>164</v>
      </c>
      <c r="D145" s="199" t="s">
        <v>165</v>
      </c>
      <c r="E145" s="199" t="s">
        <v>166</v>
      </c>
      <c r="F145" s="199" t="s">
        <v>167</v>
      </c>
      <c r="G145" s="200" t="s">
        <v>168</v>
      </c>
      <c r="H145" s="200" t="s">
        <v>168</v>
      </c>
    </row>
    <row r="146" spans="1:8" hidden="1" outlineLevel="1">
      <c r="A146" s="157" t="s">
        <v>150</v>
      </c>
      <c r="B146" s="158"/>
      <c r="C146" s="158"/>
      <c r="D146" s="158"/>
      <c r="E146" s="158"/>
      <c r="F146" s="158"/>
      <c r="G146" s="159"/>
      <c r="H146" s="159"/>
    </row>
    <row r="147" spans="1:8" hidden="1" outlineLevel="1">
      <c r="A147" s="160" t="s">
        <v>151</v>
      </c>
      <c r="B147" s="158"/>
      <c r="C147" s="158"/>
      <c r="D147" s="158"/>
      <c r="E147" s="158"/>
      <c r="F147" s="158"/>
      <c r="G147" s="159"/>
      <c r="H147" s="159"/>
    </row>
    <row r="148" spans="1:8" ht="15.75" hidden="1" customHeight="1" outlineLevel="1">
      <c r="A148" s="201" t="s">
        <v>169</v>
      </c>
      <c r="B148" s="162"/>
      <c r="C148" s="162"/>
      <c r="D148" s="162"/>
      <c r="E148" s="162"/>
      <c r="F148" s="162"/>
      <c r="G148" s="163"/>
      <c r="H148" s="163"/>
    </row>
    <row r="149" spans="1:8" hidden="1" outlineLevel="1">
      <c r="A149" s="160" t="s">
        <v>153</v>
      </c>
      <c r="B149" s="164"/>
      <c r="C149" s="165"/>
      <c r="D149" s="165"/>
      <c r="E149" s="165"/>
      <c r="F149" s="165"/>
      <c r="G149" s="166"/>
      <c r="H149" s="166"/>
    </row>
    <row r="150" spans="1:8" hidden="1" outlineLevel="1">
      <c r="A150" s="157" t="s">
        <v>154</v>
      </c>
      <c r="B150" s="167"/>
      <c r="C150" s="167"/>
      <c r="D150" s="167"/>
      <c r="E150" s="167"/>
      <c r="F150" s="167"/>
      <c r="G150" s="168"/>
      <c r="H150" s="168"/>
    </row>
    <row r="151" spans="1:8" hidden="1" outlineLevel="1">
      <c r="A151" s="207" t="s">
        <v>155</v>
      </c>
      <c r="B151" s="171"/>
      <c r="C151" s="171"/>
      <c r="D151" s="171"/>
      <c r="E151" s="171"/>
      <c r="F151" s="171"/>
      <c r="G151" s="172"/>
      <c r="H151" s="172"/>
    </row>
    <row r="152" spans="1:8" hidden="1" outlineLevel="1">
      <c r="A152" s="207" t="s">
        <v>156</v>
      </c>
      <c r="B152" s="174"/>
      <c r="C152" s="174"/>
      <c r="D152" s="174"/>
      <c r="E152" s="174"/>
      <c r="F152" s="174"/>
      <c r="G152" s="175"/>
      <c r="H152" s="175"/>
    </row>
    <row r="153" spans="1:8" hidden="1" outlineLevel="1">
      <c r="A153" s="201" t="s">
        <v>170</v>
      </c>
      <c r="B153" s="176"/>
      <c r="C153" s="177"/>
      <c r="D153" s="177"/>
      <c r="E153" s="177"/>
      <c r="F153" s="177"/>
      <c r="G153" s="178"/>
      <c r="H153" s="178"/>
    </row>
    <row r="154" spans="1:8" hidden="1" outlineLevel="1">
      <c r="A154" s="208" t="s">
        <v>11</v>
      </c>
      <c r="B154" s="9">
        <f t="shared" ref="B154:G154" si="42">B146-B150</f>
        <v>0</v>
      </c>
      <c r="C154" s="9">
        <f t="shared" si="42"/>
        <v>0</v>
      </c>
      <c r="D154" s="9">
        <f t="shared" si="42"/>
        <v>0</v>
      </c>
      <c r="E154" s="9">
        <f t="shared" si="42"/>
        <v>0</v>
      </c>
      <c r="F154" s="9">
        <f t="shared" si="42"/>
        <v>0</v>
      </c>
      <c r="G154" s="10">
        <f t="shared" si="42"/>
        <v>0</v>
      </c>
      <c r="H154" s="10">
        <f>H146-H150</f>
        <v>0</v>
      </c>
    </row>
    <row r="155" spans="1:8" hidden="1" outlineLevel="1">
      <c r="A155" s="17" t="s">
        <v>158</v>
      </c>
      <c r="B155" s="167"/>
      <c r="C155" s="167"/>
      <c r="D155" s="167"/>
      <c r="E155" s="167"/>
      <c r="F155" s="167"/>
      <c r="G155" s="168"/>
      <c r="H155" s="168"/>
    </row>
    <row r="156" spans="1:8" hidden="1" outlineLevel="1">
      <c r="A156" s="17" t="s">
        <v>13</v>
      </c>
      <c r="B156" s="9">
        <f t="shared" ref="B156:G156" si="43">B154+B155</f>
        <v>0</v>
      </c>
      <c r="C156" s="9">
        <f t="shared" si="43"/>
        <v>0</v>
      </c>
      <c r="D156" s="9">
        <f t="shared" si="43"/>
        <v>0</v>
      </c>
      <c r="E156" s="9">
        <f t="shared" si="43"/>
        <v>0</v>
      </c>
      <c r="F156" s="9">
        <f t="shared" si="43"/>
        <v>0</v>
      </c>
      <c r="G156" s="10">
        <f t="shared" si="43"/>
        <v>0</v>
      </c>
      <c r="H156" s="10">
        <f>H154+H155</f>
        <v>0</v>
      </c>
    </row>
    <row r="157" spans="1:8" hidden="1" outlineLevel="1">
      <c r="A157" s="17" t="s">
        <v>159</v>
      </c>
      <c r="B157" s="167"/>
      <c r="C157" s="167"/>
      <c r="D157" s="167"/>
      <c r="E157" s="167"/>
      <c r="F157" s="167"/>
      <c r="G157" s="168"/>
      <c r="H157" s="168"/>
    </row>
    <row r="158" spans="1:8" ht="27" hidden="1" outlineLevel="1">
      <c r="A158" s="18" t="s">
        <v>15</v>
      </c>
      <c r="B158" s="164"/>
      <c r="C158" s="165"/>
      <c r="D158" s="165"/>
      <c r="E158" s="165"/>
      <c r="F158" s="165"/>
      <c r="G158" s="166"/>
      <c r="H158" s="166"/>
    </row>
    <row r="159" spans="1:8" ht="27" hidden="1" outlineLevel="1">
      <c r="A159" s="18" t="s">
        <v>171</v>
      </c>
      <c r="B159" s="164"/>
      <c r="C159" s="165"/>
      <c r="D159" s="165"/>
      <c r="E159" s="165"/>
      <c r="F159" s="165"/>
      <c r="G159" s="166"/>
      <c r="H159" s="166"/>
    </row>
    <row r="160" spans="1:8" hidden="1" outlineLevel="1">
      <c r="A160" s="181"/>
      <c r="B160" s="182"/>
      <c r="C160" s="182"/>
      <c r="D160" s="182"/>
      <c r="E160" s="182"/>
      <c r="F160" s="182"/>
      <c r="G160" s="183"/>
      <c r="H160" s="183"/>
    </row>
    <row r="161" spans="1:8" hidden="1" outlineLevel="1">
      <c r="A161" s="18" t="s">
        <v>17</v>
      </c>
      <c r="B161" s="167"/>
      <c r="C161" s="22">
        <f t="shared" ref="C161:H161" si="44">B161+C158</f>
        <v>0</v>
      </c>
      <c r="D161" s="22">
        <f t="shared" si="44"/>
        <v>0</v>
      </c>
      <c r="E161" s="22">
        <f t="shared" si="44"/>
        <v>0</v>
      </c>
      <c r="F161" s="22">
        <f t="shared" si="44"/>
        <v>0</v>
      </c>
      <c r="G161" s="184">
        <f t="shared" si="44"/>
        <v>0</v>
      </c>
      <c r="H161" s="184">
        <f t="shared" si="44"/>
        <v>0</v>
      </c>
    </row>
    <row r="162" spans="1:8" hidden="1" outlineLevel="1">
      <c r="A162" s="209" t="s">
        <v>18</v>
      </c>
      <c r="B162" s="185"/>
      <c r="C162" s="186">
        <f t="shared" ref="C162:H162" si="45">B162+C157</f>
        <v>0</v>
      </c>
      <c r="D162" s="186">
        <f t="shared" si="45"/>
        <v>0</v>
      </c>
      <c r="E162" s="186">
        <f t="shared" si="45"/>
        <v>0</v>
      </c>
      <c r="F162" s="186">
        <f t="shared" si="45"/>
        <v>0</v>
      </c>
      <c r="G162" s="186">
        <f t="shared" si="45"/>
        <v>0</v>
      </c>
      <c r="H162" s="186">
        <f t="shared" si="45"/>
        <v>0</v>
      </c>
    </row>
    <row r="163" spans="1:8" ht="20.399999999999999" hidden="1" outlineLevel="1">
      <c r="A163" s="25" t="s">
        <v>19</v>
      </c>
      <c r="B163" s="203"/>
      <c r="C163" s="187"/>
      <c r="D163" s="187"/>
      <c r="E163" s="187"/>
      <c r="F163" s="187"/>
      <c r="G163" s="204"/>
      <c r="H163" s="204"/>
    </row>
    <row r="164" spans="1:8" hidden="1" outlineLevel="1">
      <c r="A164" s="210" t="s">
        <v>160</v>
      </c>
      <c r="B164" s="185"/>
      <c r="C164" s="165"/>
      <c r="D164" s="187"/>
      <c r="E164" s="187"/>
      <c r="F164" s="187"/>
      <c r="G164" s="204"/>
      <c r="H164" s="204"/>
    </row>
    <row r="165" spans="1:8" hidden="1" outlineLevel="1">
      <c r="A165" s="189" t="s">
        <v>161</v>
      </c>
      <c r="B165" s="190"/>
      <c r="C165" s="191"/>
      <c r="D165" s="192"/>
      <c r="E165" s="192"/>
      <c r="F165" s="192"/>
      <c r="G165" s="205"/>
      <c r="H165" s="205"/>
    </row>
    <row r="166" spans="1:8" hidden="1" outlineLevel="1">
      <c r="A166" s="18" t="s">
        <v>20</v>
      </c>
      <c r="B166" s="52">
        <f t="shared" ref="B166:G166" si="46">IF(B162-B161&lt;0,0,B162-B161)</f>
        <v>0</v>
      </c>
      <c r="C166" s="52">
        <f t="shared" si="46"/>
        <v>0</v>
      </c>
      <c r="D166" s="52">
        <f t="shared" si="46"/>
        <v>0</v>
      </c>
      <c r="E166" s="52">
        <f t="shared" si="46"/>
        <v>0</v>
      </c>
      <c r="F166" s="52">
        <f t="shared" si="46"/>
        <v>0</v>
      </c>
      <c r="G166" s="30">
        <f t="shared" si="46"/>
        <v>0</v>
      </c>
      <c r="H166" s="30">
        <f>IF(H162-H161&lt;0,0,H162-H161)</f>
        <v>0</v>
      </c>
    </row>
    <row r="167" spans="1:8" ht="15" hidden="1" outlineLevel="1" thickBot="1">
      <c r="A167" s="194" t="s">
        <v>21</v>
      </c>
      <c r="B167" s="195" t="e">
        <f t="shared" ref="B167:G167" si="47">B166/B146</f>
        <v>#DIV/0!</v>
      </c>
      <c r="C167" s="195" t="e">
        <f t="shared" si="47"/>
        <v>#DIV/0!</v>
      </c>
      <c r="D167" s="195" t="e">
        <f t="shared" si="47"/>
        <v>#DIV/0!</v>
      </c>
      <c r="E167" s="195" t="e">
        <f t="shared" si="47"/>
        <v>#DIV/0!</v>
      </c>
      <c r="F167" s="195" t="e">
        <f t="shared" si="47"/>
        <v>#DIV/0!</v>
      </c>
      <c r="G167" s="196" t="e">
        <f t="shared" si="47"/>
        <v>#DIV/0!</v>
      </c>
      <c r="H167" s="196" t="e">
        <f>H166/H146</f>
        <v>#DIV/0!</v>
      </c>
    </row>
    <row r="168" spans="1:8" ht="15" collapsed="1" thickBot="1">
      <c r="B168" s="198">
        <f t="shared" ref="B168:G168" si="48">B156+B157-B158+B159</f>
        <v>0</v>
      </c>
      <c r="C168" s="198">
        <f t="shared" si="48"/>
        <v>0</v>
      </c>
      <c r="D168" s="198">
        <f t="shared" si="48"/>
        <v>0</v>
      </c>
      <c r="E168" s="198">
        <f t="shared" si="48"/>
        <v>0</v>
      </c>
      <c r="F168" s="198">
        <f t="shared" si="48"/>
        <v>0</v>
      </c>
      <c r="G168" s="198">
        <f t="shared" si="48"/>
        <v>0</v>
      </c>
      <c r="H168" s="198">
        <f>H156+H157-H158+H159</f>
        <v>0</v>
      </c>
    </row>
    <row r="169" spans="1:8" ht="36" customHeight="1" collapsed="1">
      <c r="A169" s="1" t="s">
        <v>177</v>
      </c>
      <c r="B169" s="199" t="s">
        <v>163</v>
      </c>
      <c r="C169" s="199" t="s">
        <v>164</v>
      </c>
      <c r="D169" s="199" t="s">
        <v>165</v>
      </c>
      <c r="E169" s="199" t="s">
        <v>166</v>
      </c>
      <c r="F169" s="199" t="s">
        <v>167</v>
      </c>
      <c r="G169" s="200" t="s">
        <v>168</v>
      </c>
      <c r="H169" s="200" t="s">
        <v>168</v>
      </c>
    </row>
    <row r="170" spans="1:8" hidden="1" outlineLevel="1">
      <c r="A170" s="157" t="s">
        <v>150</v>
      </c>
      <c r="B170" s="158"/>
      <c r="C170" s="158"/>
      <c r="D170" s="158"/>
      <c r="E170" s="158"/>
      <c r="F170" s="158"/>
      <c r="G170" s="159"/>
      <c r="H170" s="159"/>
    </row>
    <row r="171" spans="1:8" hidden="1" outlineLevel="1">
      <c r="A171" s="160" t="s">
        <v>151</v>
      </c>
      <c r="B171" s="158"/>
      <c r="C171" s="158"/>
      <c r="D171" s="158"/>
      <c r="E171" s="158"/>
      <c r="F171" s="158"/>
      <c r="G171" s="159"/>
      <c r="H171" s="159"/>
    </row>
    <row r="172" spans="1:8" hidden="1" outlineLevel="1">
      <c r="A172" s="201" t="s">
        <v>169</v>
      </c>
      <c r="B172" s="162"/>
      <c r="C172" s="162"/>
      <c r="D172" s="162"/>
      <c r="E172" s="162"/>
      <c r="F172" s="162"/>
      <c r="G172" s="163"/>
      <c r="H172" s="163"/>
    </row>
    <row r="173" spans="1:8" hidden="1" outlineLevel="1">
      <c r="A173" s="160" t="s">
        <v>153</v>
      </c>
      <c r="B173" s="164"/>
      <c r="C173" s="165"/>
      <c r="D173" s="165"/>
      <c r="E173" s="165"/>
      <c r="F173" s="165"/>
      <c r="G173" s="166"/>
      <c r="H173" s="166"/>
    </row>
    <row r="174" spans="1:8" hidden="1" outlineLevel="1">
      <c r="A174" s="157" t="s">
        <v>154</v>
      </c>
      <c r="B174" s="167"/>
      <c r="C174" s="167"/>
      <c r="D174" s="167"/>
      <c r="E174" s="167"/>
      <c r="F174" s="167"/>
      <c r="G174" s="168"/>
      <c r="H174" s="168"/>
    </row>
    <row r="175" spans="1:8" hidden="1" outlineLevel="1">
      <c r="A175" s="207" t="s">
        <v>155</v>
      </c>
      <c r="B175" s="171"/>
      <c r="C175" s="171"/>
      <c r="D175" s="171"/>
      <c r="E175" s="171"/>
      <c r="F175" s="171"/>
      <c r="G175" s="172"/>
      <c r="H175" s="172"/>
    </row>
    <row r="176" spans="1:8" hidden="1" outlineLevel="1">
      <c r="A176" s="207" t="s">
        <v>156</v>
      </c>
      <c r="B176" s="174"/>
      <c r="C176" s="174"/>
      <c r="D176" s="174"/>
      <c r="E176" s="174"/>
      <c r="F176" s="174"/>
      <c r="G176" s="175"/>
      <c r="H176" s="175"/>
    </row>
    <row r="177" spans="1:8" hidden="1" outlineLevel="1">
      <c r="A177" s="201" t="s">
        <v>170</v>
      </c>
      <c r="B177" s="176"/>
      <c r="C177" s="177"/>
      <c r="D177" s="177"/>
      <c r="E177" s="177"/>
      <c r="F177" s="177"/>
      <c r="G177" s="178"/>
      <c r="H177" s="178"/>
    </row>
    <row r="178" spans="1:8" hidden="1" outlineLevel="1">
      <c r="A178" s="208" t="s">
        <v>11</v>
      </c>
      <c r="B178" s="9">
        <f t="shared" ref="B178:G178" si="49">B170-B174</f>
        <v>0</v>
      </c>
      <c r="C178" s="9">
        <f t="shared" si="49"/>
        <v>0</v>
      </c>
      <c r="D178" s="9">
        <f t="shared" si="49"/>
        <v>0</v>
      </c>
      <c r="E178" s="9">
        <f t="shared" si="49"/>
        <v>0</v>
      </c>
      <c r="F178" s="9">
        <f t="shared" si="49"/>
        <v>0</v>
      </c>
      <c r="G178" s="10">
        <f t="shared" si="49"/>
        <v>0</v>
      </c>
      <c r="H178" s="10">
        <f>H170-H174</f>
        <v>0</v>
      </c>
    </row>
    <row r="179" spans="1:8" hidden="1" outlineLevel="1">
      <c r="A179" s="17" t="s">
        <v>158</v>
      </c>
      <c r="B179" s="167"/>
      <c r="C179" s="167"/>
      <c r="D179" s="167"/>
      <c r="E179" s="167"/>
      <c r="F179" s="167"/>
      <c r="G179" s="168"/>
      <c r="H179" s="168"/>
    </row>
    <row r="180" spans="1:8" hidden="1" outlineLevel="1">
      <c r="A180" s="17" t="s">
        <v>13</v>
      </c>
      <c r="B180" s="9">
        <f t="shared" ref="B180:G180" si="50">B178+B179</f>
        <v>0</v>
      </c>
      <c r="C180" s="9">
        <f t="shared" si="50"/>
        <v>0</v>
      </c>
      <c r="D180" s="9">
        <f t="shared" si="50"/>
        <v>0</v>
      </c>
      <c r="E180" s="9">
        <f t="shared" si="50"/>
        <v>0</v>
      </c>
      <c r="F180" s="9">
        <f t="shared" si="50"/>
        <v>0</v>
      </c>
      <c r="G180" s="10">
        <f t="shared" si="50"/>
        <v>0</v>
      </c>
      <c r="H180" s="10">
        <f>H178+H179</f>
        <v>0</v>
      </c>
    </row>
    <row r="181" spans="1:8" hidden="1" outlineLevel="1">
      <c r="A181" s="17" t="s">
        <v>159</v>
      </c>
      <c r="B181" s="167"/>
      <c r="C181" s="167"/>
      <c r="D181" s="167"/>
      <c r="E181" s="167"/>
      <c r="F181" s="167"/>
      <c r="G181" s="168"/>
      <c r="H181" s="168"/>
    </row>
    <row r="182" spans="1:8" ht="27" hidden="1" outlineLevel="1">
      <c r="A182" s="18" t="s">
        <v>15</v>
      </c>
      <c r="B182" s="164"/>
      <c r="C182" s="165"/>
      <c r="D182" s="165"/>
      <c r="E182" s="165"/>
      <c r="F182" s="165"/>
      <c r="G182" s="166"/>
      <c r="H182" s="166"/>
    </row>
    <row r="183" spans="1:8" ht="27" hidden="1" outlineLevel="1">
      <c r="A183" s="18" t="s">
        <v>171</v>
      </c>
      <c r="B183" s="164"/>
      <c r="C183" s="165"/>
      <c r="D183" s="165"/>
      <c r="E183" s="165"/>
      <c r="F183" s="165"/>
      <c r="G183" s="166"/>
      <c r="H183" s="166"/>
    </row>
    <row r="184" spans="1:8" hidden="1" outlineLevel="1">
      <c r="A184" s="181"/>
      <c r="B184" s="182"/>
      <c r="C184" s="182"/>
      <c r="D184" s="182"/>
      <c r="E184" s="182"/>
      <c r="F184" s="182"/>
      <c r="G184" s="183"/>
      <c r="H184" s="183"/>
    </row>
    <row r="185" spans="1:8" hidden="1" outlineLevel="1">
      <c r="A185" s="18" t="s">
        <v>17</v>
      </c>
      <c r="B185" s="167"/>
      <c r="C185" s="22">
        <f t="shared" ref="C185:H185" si="51">B185+C182</f>
        <v>0</v>
      </c>
      <c r="D185" s="22">
        <f t="shared" si="51"/>
        <v>0</v>
      </c>
      <c r="E185" s="22">
        <f t="shared" si="51"/>
        <v>0</v>
      </c>
      <c r="F185" s="22">
        <f t="shared" si="51"/>
        <v>0</v>
      </c>
      <c r="G185" s="184">
        <f t="shared" si="51"/>
        <v>0</v>
      </c>
      <c r="H185" s="184">
        <f t="shared" si="51"/>
        <v>0</v>
      </c>
    </row>
    <row r="186" spans="1:8" hidden="1" outlineLevel="1">
      <c r="A186" s="209" t="s">
        <v>18</v>
      </c>
      <c r="B186" s="185"/>
      <c r="C186" s="186">
        <f t="shared" ref="C186:H186" si="52">B186+C181</f>
        <v>0</v>
      </c>
      <c r="D186" s="186">
        <f t="shared" si="52"/>
        <v>0</v>
      </c>
      <c r="E186" s="186">
        <f t="shared" si="52"/>
        <v>0</v>
      </c>
      <c r="F186" s="186">
        <f t="shared" si="52"/>
        <v>0</v>
      </c>
      <c r="G186" s="186">
        <f t="shared" si="52"/>
        <v>0</v>
      </c>
      <c r="H186" s="186">
        <f t="shared" si="52"/>
        <v>0</v>
      </c>
    </row>
    <row r="187" spans="1:8" ht="20.399999999999999" hidden="1" outlineLevel="1">
      <c r="A187" s="25" t="s">
        <v>19</v>
      </c>
      <c r="B187" s="203"/>
      <c r="C187" s="187"/>
      <c r="D187" s="187"/>
      <c r="E187" s="187"/>
      <c r="F187" s="187"/>
      <c r="G187" s="204"/>
      <c r="H187" s="204"/>
    </row>
    <row r="188" spans="1:8" hidden="1" outlineLevel="1">
      <c r="A188" s="210" t="s">
        <v>160</v>
      </c>
      <c r="B188" s="185"/>
      <c r="C188" s="165"/>
      <c r="D188" s="187"/>
      <c r="E188" s="187"/>
      <c r="F188" s="187"/>
      <c r="G188" s="204"/>
      <c r="H188" s="204"/>
    </row>
    <row r="189" spans="1:8" hidden="1" outlineLevel="1">
      <c r="A189" s="189" t="s">
        <v>161</v>
      </c>
      <c r="B189" s="190"/>
      <c r="C189" s="191"/>
      <c r="D189" s="192"/>
      <c r="E189" s="192"/>
      <c r="F189" s="192"/>
      <c r="G189" s="205"/>
      <c r="H189" s="205"/>
    </row>
    <row r="190" spans="1:8" ht="24.75" hidden="1" customHeight="1" outlineLevel="1">
      <c r="A190" s="18" t="s">
        <v>20</v>
      </c>
      <c r="B190" s="52">
        <f t="shared" ref="B190:G190" si="53">IF(B186-B185&lt;0,0,B186-B185)</f>
        <v>0</v>
      </c>
      <c r="C190" s="52">
        <f t="shared" si="53"/>
        <v>0</v>
      </c>
      <c r="D190" s="52">
        <f t="shared" si="53"/>
        <v>0</v>
      </c>
      <c r="E190" s="52">
        <f t="shared" si="53"/>
        <v>0</v>
      </c>
      <c r="F190" s="52">
        <f t="shared" si="53"/>
        <v>0</v>
      </c>
      <c r="G190" s="30">
        <f t="shared" si="53"/>
        <v>0</v>
      </c>
      <c r="H190" s="30">
        <f>IF(H186-H185&lt;0,0,H186-H185)</f>
        <v>0</v>
      </c>
    </row>
    <row r="191" spans="1:8" ht="15" hidden="1" outlineLevel="1" thickBot="1">
      <c r="A191" s="194" t="s">
        <v>21</v>
      </c>
      <c r="B191" s="195" t="e">
        <f t="shared" ref="B191:G191" si="54">B190/B170</f>
        <v>#DIV/0!</v>
      </c>
      <c r="C191" s="195" t="e">
        <f t="shared" si="54"/>
        <v>#DIV/0!</v>
      </c>
      <c r="D191" s="195" t="e">
        <f t="shared" si="54"/>
        <v>#DIV/0!</v>
      </c>
      <c r="E191" s="195" t="e">
        <f t="shared" si="54"/>
        <v>#DIV/0!</v>
      </c>
      <c r="F191" s="195" t="e">
        <f t="shared" si="54"/>
        <v>#DIV/0!</v>
      </c>
      <c r="G191" s="196" t="e">
        <f t="shared" si="54"/>
        <v>#DIV/0!</v>
      </c>
      <c r="H191" s="196" t="e">
        <f>H190/H170</f>
        <v>#DIV/0!</v>
      </c>
    </row>
    <row r="192" spans="1:8" ht="15" collapsed="1" thickBot="1">
      <c r="B192" s="198">
        <f t="shared" ref="B192:G192" si="55">B180+B181-B182+B183</f>
        <v>0</v>
      </c>
      <c r="C192" s="198">
        <f t="shared" si="55"/>
        <v>0</v>
      </c>
      <c r="D192" s="198">
        <f t="shared" si="55"/>
        <v>0</v>
      </c>
      <c r="E192" s="198">
        <f t="shared" si="55"/>
        <v>0</v>
      </c>
      <c r="F192" s="198">
        <f t="shared" si="55"/>
        <v>0</v>
      </c>
      <c r="G192" s="198">
        <f t="shared" si="55"/>
        <v>0</v>
      </c>
      <c r="H192" s="198">
        <f>H180+H181-H182+H183</f>
        <v>0</v>
      </c>
    </row>
    <row r="193" spans="1:8" ht="40.200000000000003" collapsed="1">
      <c r="A193" s="1" t="s">
        <v>178</v>
      </c>
      <c r="B193" s="199" t="s">
        <v>163</v>
      </c>
      <c r="C193" s="199" t="s">
        <v>164</v>
      </c>
      <c r="D193" s="199" t="s">
        <v>165</v>
      </c>
      <c r="E193" s="199" t="s">
        <v>166</v>
      </c>
      <c r="F193" s="199" t="s">
        <v>167</v>
      </c>
      <c r="G193" s="200" t="s">
        <v>168</v>
      </c>
      <c r="H193" s="200" t="s">
        <v>168</v>
      </c>
    </row>
    <row r="194" spans="1:8" hidden="1" outlineLevel="1">
      <c r="A194" s="157" t="s">
        <v>150</v>
      </c>
      <c r="B194" s="158"/>
      <c r="C194" s="158"/>
      <c r="D194" s="158"/>
      <c r="E194" s="158"/>
      <c r="F194" s="158"/>
      <c r="G194" s="159"/>
      <c r="H194" s="159"/>
    </row>
    <row r="195" spans="1:8" hidden="1" outlineLevel="1">
      <c r="A195" s="160" t="s">
        <v>151</v>
      </c>
      <c r="B195" s="158"/>
      <c r="C195" s="158"/>
      <c r="D195" s="158"/>
      <c r="E195" s="158"/>
      <c r="F195" s="158"/>
      <c r="G195" s="159"/>
      <c r="H195" s="159"/>
    </row>
    <row r="196" spans="1:8" hidden="1" outlineLevel="1">
      <c r="A196" s="201" t="s">
        <v>169</v>
      </c>
      <c r="B196" s="162"/>
      <c r="C196" s="162"/>
      <c r="D196" s="162"/>
      <c r="E196" s="162"/>
      <c r="F196" s="162"/>
      <c r="G196" s="163"/>
      <c r="H196" s="163"/>
    </row>
    <row r="197" spans="1:8" hidden="1" outlineLevel="1">
      <c r="A197" s="160" t="s">
        <v>153</v>
      </c>
      <c r="B197" s="164"/>
      <c r="C197" s="165"/>
      <c r="D197" s="165"/>
      <c r="E197" s="165"/>
      <c r="F197" s="165"/>
      <c r="G197" s="166"/>
      <c r="H197" s="166"/>
    </row>
    <row r="198" spans="1:8" hidden="1" outlineLevel="1">
      <c r="A198" s="157" t="s">
        <v>154</v>
      </c>
      <c r="B198" s="167"/>
      <c r="C198" s="167"/>
      <c r="D198" s="167"/>
      <c r="E198" s="167"/>
      <c r="F198" s="167"/>
      <c r="G198" s="168"/>
      <c r="H198" s="168"/>
    </row>
    <row r="199" spans="1:8" hidden="1" outlineLevel="1">
      <c r="A199" s="207" t="s">
        <v>155</v>
      </c>
      <c r="B199" s="171"/>
      <c r="C199" s="171"/>
      <c r="D199" s="171"/>
      <c r="E199" s="171"/>
      <c r="F199" s="171"/>
      <c r="G199" s="172"/>
      <c r="H199" s="172"/>
    </row>
    <row r="200" spans="1:8" hidden="1" outlineLevel="1">
      <c r="A200" s="207" t="s">
        <v>156</v>
      </c>
      <c r="B200" s="174"/>
      <c r="C200" s="174"/>
      <c r="D200" s="174"/>
      <c r="E200" s="174"/>
      <c r="F200" s="174"/>
      <c r="G200" s="175"/>
      <c r="H200" s="175"/>
    </row>
    <row r="201" spans="1:8" hidden="1" outlineLevel="1">
      <c r="A201" s="201" t="s">
        <v>170</v>
      </c>
      <c r="B201" s="176"/>
      <c r="C201" s="177"/>
      <c r="D201" s="177"/>
      <c r="E201" s="177"/>
      <c r="F201" s="177"/>
      <c r="G201" s="178"/>
      <c r="H201" s="178"/>
    </row>
    <row r="202" spans="1:8" hidden="1" outlineLevel="1">
      <c r="A202" s="208" t="s">
        <v>11</v>
      </c>
      <c r="B202" s="9">
        <f t="shared" ref="B202:G202" si="56">B194-B198</f>
        <v>0</v>
      </c>
      <c r="C202" s="9">
        <f t="shared" si="56"/>
        <v>0</v>
      </c>
      <c r="D202" s="9">
        <f t="shared" si="56"/>
        <v>0</v>
      </c>
      <c r="E202" s="9">
        <f t="shared" si="56"/>
        <v>0</v>
      </c>
      <c r="F202" s="9">
        <f t="shared" si="56"/>
        <v>0</v>
      </c>
      <c r="G202" s="10">
        <f t="shared" si="56"/>
        <v>0</v>
      </c>
      <c r="H202" s="10">
        <f>H194-H198</f>
        <v>0</v>
      </c>
    </row>
    <row r="203" spans="1:8" hidden="1" outlineLevel="1">
      <c r="A203" s="17" t="s">
        <v>158</v>
      </c>
      <c r="B203" s="167"/>
      <c r="C203" s="167"/>
      <c r="D203" s="167"/>
      <c r="E203" s="167"/>
      <c r="F203" s="167"/>
      <c r="G203" s="168"/>
      <c r="H203" s="168"/>
    </row>
    <row r="204" spans="1:8" hidden="1" outlineLevel="1">
      <c r="A204" s="17" t="s">
        <v>13</v>
      </c>
      <c r="B204" s="9">
        <f t="shared" ref="B204:G204" si="57">B202+B203</f>
        <v>0</v>
      </c>
      <c r="C204" s="9">
        <f t="shared" si="57"/>
        <v>0</v>
      </c>
      <c r="D204" s="9">
        <f t="shared" si="57"/>
        <v>0</v>
      </c>
      <c r="E204" s="9">
        <f t="shared" si="57"/>
        <v>0</v>
      </c>
      <c r="F204" s="9">
        <f t="shared" si="57"/>
        <v>0</v>
      </c>
      <c r="G204" s="10">
        <f t="shared" si="57"/>
        <v>0</v>
      </c>
      <c r="H204" s="10">
        <f>H202+H203</f>
        <v>0</v>
      </c>
    </row>
    <row r="205" spans="1:8" hidden="1" outlineLevel="1">
      <c r="A205" s="17" t="s">
        <v>159</v>
      </c>
      <c r="B205" s="167"/>
      <c r="C205" s="167"/>
      <c r="D205" s="167"/>
      <c r="E205" s="167"/>
      <c r="F205" s="167"/>
      <c r="G205" s="168"/>
      <c r="H205" s="168"/>
    </row>
    <row r="206" spans="1:8" ht="27" hidden="1" outlineLevel="1">
      <c r="A206" s="18" t="s">
        <v>15</v>
      </c>
      <c r="B206" s="164"/>
      <c r="C206" s="165"/>
      <c r="D206" s="165"/>
      <c r="E206" s="165"/>
      <c r="F206" s="165"/>
      <c r="G206" s="166"/>
      <c r="H206" s="166"/>
    </row>
    <row r="207" spans="1:8" ht="27" hidden="1" outlineLevel="1">
      <c r="A207" s="18" t="s">
        <v>171</v>
      </c>
      <c r="B207" s="164"/>
      <c r="C207" s="165"/>
      <c r="D207" s="165"/>
      <c r="E207" s="165"/>
      <c r="F207" s="165"/>
      <c r="G207" s="166"/>
      <c r="H207" s="166"/>
    </row>
    <row r="208" spans="1:8" hidden="1" outlineLevel="1">
      <c r="A208" s="181"/>
      <c r="B208" s="182"/>
      <c r="C208" s="182"/>
      <c r="D208" s="182"/>
      <c r="E208" s="182"/>
      <c r="F208" s="182"/>
      <c r="G208" s="183"/>
      <c r="H208" s="183"/>
    </row>
    <row r="209" spans="1:8" hidden="1" outlineLevel="1">
      <c r="A209" s="18" t="s">
        <v>17</v>
      </c>
      <c r="B209" s="167"/>
      <c r="C209" s="22">
        <f t="shared" ref="C209:H209" si="58">B209+C206</f>
        <v>0</v>
      </c>
      <c r="D209" s="22">
        <f t="shared" si="58"/>
        <v>0</v>
      </c>
      <c r="E209" s="22">
        <f t="shared" si="58"/>
        <v>0</v>
      </c>
      <c r="F209" s="22">
        <f t="shared" si="58"/>
        <v>0</v>
      </c>
      <c r="G209" s="184">
        <f t="shared" si="58"/>
        <v>0</v>
      </c>
      <c r="H209" s="184">
        <f t="shared" si="58"/>
        <v>0</v>
      </c>
    </row>
    <row r="210" spans="1:8" hidden="1" outlineLevel="1">
      <c r="A210" s="209" t="s">
        <v>18</v>
      </c>
      <c r="B210" s="185"/>
      <c r="C210" s="186">
        <f t="shared" ref="C210:H210" si="59">B210+C205</f>
        <v>0</v>
      </c>
      <c r="D210" s="186">
        <f t="shared" si="59"/>
        <v>0</v>
      </c>
      <c r="E210" s="186">
        <f t="shared" si="59"/>
        <v>0</v>
      </c>
      <c r="F210" s="186">
        <f t="shared" si="59"/>
        <v>0</v>
      </c>
      <c r="G210" s="186">
        <f t="shared" si="59"/>
        <v>0</v>
      </c>
      <c r="H210" s="186">
        <f t="shared" si="59"/>
        <v>0</v>
      </c>
    </row>
    <row r="211" spans="1:8" ht="24.75" hidden="1" customHeight="1" outlineLevel="1">
      <c r="A211" s="25" t="s">
        <v>19</v>
      </c>
      <c r="B211" s="203"/>
      <c r="C211" s="187"/>
      <c r="D211" s="187"/>
      <c r="E211" s="187"/>
      <c r="F211" s="187"/>
      <c r="G211" s="204"/>
      <c r="H211" s="204"/>
    </row>
    <row r="212" spans="1:8" hidden="1" outlineLevel="1">
      <c r="A212" s="210" t="s">
        <v>160</v>
      </c>
      <c r="B212" s="185"/>
      <c r="C212" s="165"/>
      <c r="D212" s="187"/>
      <c r="E212" s="187"/>
      <c r="F212" s="187"/>
      <c r="G212" s="204"/>
      <c r="H212" s="204"/>
    </row>
    <row r="213" spans="1:8" hidden="1" outlineLevel="1">
      <c r="A213" s="189" t="s">
        <v>161</v>
      </c>
      <c r="B213" s="190"/>
      <c r="C213" s="191"/>
      <c r="D213" s="192"/>
      <c r="E213" s="192"/>
      <c r="F213" s="192"/>
      <c r="G213" s="205"/>
      <c r="H213" s="205"/>
    </row>
    <row r="214" spans="1:8" hidden="1" outlineLevel="1">
      <c r="A214" s="18" t="s">
        <v>20</v>
      </c>
      <c r="B214" s="52">
        <f t="shared" ref="B214:G214" si="60">IF(B210-B209&lt;0,0,B210-B209)</f>
        <v>0</v>
      </c>
      <c r="C214" s="52">
        <f t="shared" si="60"/>
        <v>0</v>
      </c>
      <c r="D214" s="52">
        <f t="shared" si="60"/>
        <v>0</v>
      </c>
      <c r="E214" s="52">
        <f t="shared" si="60"/>
        <v>0</v>
      </c>
      <c r="F214" s="52">
        <f t="shared" si="60"/>
        <v>0</v>
      </c>
      <c r="G214" s="30">
        <f t="shared" si="60"/>
        <v>0</v>
      </c>
      <c r="H214" s="30">
        <f>IF(H210-H209&lt;0,0,H210-H209)</f>
        <v>0</v>
      </c>
    </row>
    <row r="215" spans="1:8" ht="15" hidden="1" outlineLevel="1" thickBot="1">
      <c r="A215" s="194" t="s">
        <v>21</v>
      </c>
      <c r="B215" s="195" t="e">
        <f t="shared" ref="B215:G215" si="61">B214/B194</f>
        <v>#DIV/0!</v>
      </c>
      <c r="C215" s="195" t="e">
        <f t="shared" si="61"/>
        <v>#DIV/0!</v>
      </c>
      <c r="D215" s="195" t="e">
        <f t="shared" si="61"/>
        <v>#DIV/0!</v>
      </c>
      <c r="E215" s="195" t="e">
        <f t="shared" si="61"/>
        <v>#DIV/0!</v>
      </c>
      <c r="F215" s="195" t="e">
        <f t="shared" si="61"/>
        <v>#DIV/0!</v>
      </c>
      <c r="G215" s="196" t="e">
        <f t="shared" si="61"/>
        <v>#DIV/0!</v>
      </c>
      <c r="H215" s="196" t="e">
        <f>H214/H194</f>
        <v>#DIV/0!</v>
      </c>
    </row>
    <row r="216" spans="1:8" ht="15" collapsed="1" thickBot="1">
      <c r="B216" s="198">
        <f t="shared" ref="B216:G216" si="62">B204+B205-B206+B207</f>
        <v>0</v>
      </c>
      <c r="C216" s="198">
        <f t="shared" si="62"/>
        <v>0</v>
      </c>
      <c r="D216" s="198">
        <f t="shared" si="62"/>
        <v>0</v>
      </c>
      <c r="E216" s="198">
        <f t="shared" si="62"/>
        <v>0</v>
      </c>
      <c r="F216" s="198">
        <f t="shared" si="62"/>
        <v>0</v>
      </c>
      <c r="G216" s="198">
        <f t="shared" si="62"/>
        <v>0</v>
      </c>
      <c r="H216" s="198">
        <f>H204+H205-H206+H207</f>
        <v>0</v>
      </c>
    </row>
    <row r="217" spans="1:8" ht="40.200000000000003" collapsed="1">
      <c r="A217" s="1" t="s">
        <v>179</v>
      </c>
      <c r="B217" s="199" t="s">
        <v>163</v>
      </c>
      <c r="C217" s="199" t="s">
        <v>164</v>
      </c>
      <c r="D217" s="199" t="s">
        <v>165</v>
      </c>
      <c r="E217" s="199" t="s">
        <v>166</v>
      </c>
      <c r="F217" s="199" t="s">
        <v>167</v>
      </c>
      <c r="G217" s="200" t="s">
        <v>168</v>
      </c>
      <c r="H217" s="200" t="s">
        <v>168</v>
      </c>
    </row>
    <row r="218" spans="1:8" hidden="1" outlineLevel="1">
      <c r="A218" s="157" t="s">
        <v>150</v>
      </c>
      <c r="B218" s="158"/>
      <c r="C218" s="158"/>
      <c r="D218" s="158"/>
      <c r="E218" s="158"/>
      <c r="F218" s="158"/>
      <c r="G218" s="159"/>
      <c r="H218" s="159"/>
    </row>
    <row r="219" spans="1:8" hidden="1" outlineLevel="1">
      <c r="A219" s="160" t="s">
        <v>151</v>
      </c>
      <c r="B219" s="158"/>
      <c r="C219" s="158"/>
      <c r="D219" s="158"/>
      <c r="E219" s="158"/>
      <c r="F219" s="158"/>
      <c r="G219" s="159"/>
      <c r="H219" s="159"/>
    </row>
    <row r="220" spans="1:8" hidden="1" outlineLevel="1">
      <c r="A220" s="201" t="s">
        <v>169</v>
      </c>
      <c r="B220" s="162"/>
      <c r="C220" s="162"/>
      <c r="D220" s="162"/>
      <c r="E220" s="162"/>
      <c r="F220" s="162"/>
      <c r="G220" s="163"/>
      <c r="H220" s="163"/>
    </row>
    <row r="221" spans="1:8" hidden="1" outlineLevel="1">
      <c r="A221" s="160" t="s">
        <v>153</v>
      </c>
      <c r="B221" s="164"/>
      <c r="C221" s="165"/>
      <c r="D221" s="165"/>
      <c r="E221" s="165"/>
      <c r="F221" s="165"/>
      <c r="G221" s="166"/>
      <c r="H221" s="166"/>
    </row>
    <row r="222" spans="1:8" hidden="1" outlineLevel="1">
      <c r="A222" s="157" t="s">
        <v>154</v>
      </c>
      <c r="B222" s="167"/>
      <c r="C222" s="167"/>
      <c r="D222" s="167"/>
      <c r="E222" s="167"/>
      <c r="F222" s="167"/>
      <c r="G222" s="168"/>
      <c r="H222" s="168"/>
    </row>
    <row r="223" spans="1:8" hidden="1" outlineLevel="1">
      <c r="A223" s="207" t="s">
        <v>155</v>
      </c>
      <c r="B223" s="171"/>
      <c r="C223" s="171"/>
      <c r="D223" s="171"/>
      <c r="E223" s="171"/>
      <c r="F223" s="171"/>
      <c r="G223" s="172"/>
      <c r="H223" s="172"/>
    </row>
    <row r="224" spans="1:8" hidden="1" outlineLevel="1">
      <c r="A224" s="207" t="s">
        <v>156</v>
      </c>
      <c r="B224" s="174"/>
      <c r="C224" s="174"/>
      <c r="D224" s="174"/>
      <c r="E224" s="174"/>
      <c r="F224" s="174"/>
      <c r="G224" s="175"/>
      <c r="H224" s="175"/>
    </row>
    <row r="225" spans="1:8" hidden="1" outlineLevel="1">
      <c r="A225" s="201" t="s">
        <v>170</v>
      </c>
      <c r="B225" s="176"/>
      <c r="C225" s="177"/>
      <c r="D225" s="177"/>
      <c r="E225" s="177"/>
      <c r="F225" s="177"/>
      <c r="G225" s="178"/>
      <c r="H225" s="178"/>
    </row>
    <row r="226" spans="1:8" hidden="1" outlineLevel="1">
      <c r="A226" s="208" t="s">
        <v>11</v>
      </c>
      <c r="B226" s="9">
        <f t="shared" ref="B226:G226" si="63">B218-B222</f>
        <v>0</v>
      </c>
      <c r="C226" s="9">
        <f t="shared" si="63"/>
        <v>0</v>
      </c>
      <c r="D226" s="9">
        <f t="shared" si="63"/>
        <v>0</v>
      </c>
      <c r="E226" s="9">
        <f t="shared" si="63"/>
        <v>0</v>
      </c>
      <c r="F226" s="9">
        <f t="shared" si="63"/>
        <v>0</v>
      </c>
      <c r="G226" s="10">
        <f t="shared" si="63"/>
        <v>0</v>
      </c>
      <c r="H226" s="10">
        <f>H218-H222</f>
        <v>0</v>
      </c>
    </row>
    <row r="227" spans="1:8" hidden="1" outlineLevel="1">
      <c r="A227" s="17" t="s">
        <v>158</v>
      </c>
      <c r="B227" s="167"/>
      <c r="C227" s="167"/>
      <c r="D227" s="167"/>
      <c r="E227" s="167"/>
      <c r="F227" s="167"/>
      <c r="G227" s="168"/>
      <c r="H227" s="168"/>
    </row>
    <row r="228" spans="1:8" hidden="1" outlineLevel="1">
      <c r="A228" s="17" t="s">
        <v>13</v>
      </c>
      <c r="B228" s="9">
        <f t="shared" ref="B228:G228" si="64">B226+B227</f>
        <v>0</v>
      </c>
      <c r="C228" s="9">
        <f t="shared" si="64"/>
        <v>0</v>
      </c>
      <c r="D228" s="9">
        <f t="shared" si="64"/>
        <v>0</v>
      </c>
      <c r="E228" s="9">
        <f t="shared" si="64"/>
        <v>0</v>
      </c>
      <c r="F228" s="9">
        <f t="shared" si="64"/>
        <v>0</v>
      </c>
      <c r="G228" s="10">
        <f t="shared" si="64"/>
        <v>0</v>
      </c>
      <c r="H228" s="10">
        <f>H226+H227</f>
        <v>0</v>
      </c>
    </row>
    <row r="229" spans="1:8" hidden="1" outlineLevel="1">
      <c r="A229" s="17" t="s">
        <v>159</v>
      </c>
      <c r="B229" s="167"/>
      <c r="C229" s="167"/>
      <c r="D229" s="167"/>
      <c r="E229" s="167"/>
      <c r="F229" s="167"/>
      <c r="G229" s="168"/>
      <c r="H229" s="168"/>
    </row>
    <row r="230" spans="1:8" ht="27" hidden="1" outlineLevel="1">
      <c r="A230" s="18" t="s">
        <v>15</v>
      </c>
      <c r="B230" s="164"/>
      <c r="C230" s="165"/>
      <c r="D230" s="165"/>
      <c r="E230" s="165"/>
      <c r="F230" s="165"/>
      <c r="G230" s="166"/>
      <c r="H230" s="166"/>
    </row>
    <row r="231" spans="1:8" ht="27" hidden="1" outlineLevel="1">
      <c r="A231" s="18" t="s">
        <v>171</v>
      </c>
      <c r="B231" s="164"/>
      <c r="C231" s="165"/>
      <c r="D231" s="165"/>
      <c r="E231" s="165"/>
      <c r="F231" s="165"/>
      <c r="G231" s="166"/>
      <c r="H231" s="166"/>
    </row>
    <row r="232" spans="1:8" hidden="1" outlineLevel="1">
      <c r="A232" s="181"/>
      <c r="B232" s="182"/>
      <c r="C232" s="182"/>
      <c r="D232" s="182"/>
      <c r="E232" s="182"/>
      <c r="F232" s="182"/>
      <c r="G232" s="183"/>
      <c r="H232" s="183"/>
    </row>
    <row r="233" spans="1:8" hidden="1" outlineLevel="1">
      <c r="A233" s="18" t="s">
        <v>17</v>
      </c>
      <c r="B233" s="167"/>
      <c r="C233" s="22">
        <f t="shared" ref="C233:H233" si="65">B233+C230</f>
        <v>0</v>
      </c>
      <c r="D233" s="22">
        <f t="shared" si="65"/>
        <v>0</v>
      </c>
      <c r="E233" s="22">
        <f t="shared" si="65"/>
        <v>0</v>
      </c>
      <c r="F233" s="22">
        <f t="shared" si="65"/>
        <v>0</v>
      </c>
      <c r="G233" s="184">
        <f t="shared" si="65"/>
        <v>0</v>
      </c>
      <c r="H233" s="184">
        <f t="shared" si="65"/>
        <v>0</v>
      </c>
    </row>
    <row r="234" spans="1:8" hidden="1" outlineLevel="1">
      <c r="A234" s="209" t="s">
        <v>18</v>
      </c>
      <c r="B234" s="185"/>
      <c r="C234" s="186">
        <f t="shared" ref="C234:H234" si="66">B234+C229</f>
        <v>0</v>
      </c>
      <c r="D234" s="186">
        <f t="shared" si="66"/>
        <v>0</v>
      </c>
      <c r="E234" s="186">
        <f t="shared" si="66"/>
        <v>0</v>
      </c>
      <c r="F234" s="186">
        <f t="shared" si="66"/>
        <v>0</v>
      </c>
      <c r="G234" s="186">
        <f t="shared" si="66"/>
        <v>0</v>
      </c>
      <c r="H234" s="186">
        <f t="shared" si="66"/>
        <v>0</v>
      </c>
    </row>
    <row r="235" spans="1:8" ht="20.399999999999999" hidden="1" outlineLevel="1">
      <c r="A235" s="25" t="s">
        <v>19</v>
      </c>
      <c r="B235" s="203"/>
      <c r="C235" s="187"/>
      <c r="D235" s="187"/>
      <c r="E235" s="187"/>
      <c r="F235" s="187"/>
      <c r="G235" s="204"/>
      <c r="H235" s="204"/>
    </row>
    <row r="236" spans="1:8" hidden="1" outlineLevel="1">
      <c r="A236" s="210" t="s">
        <v>160</v>
      </c>
      <c r="B236" s="185"/>
      <c r="C236" s="165"/>
      <c r="D236" s="187"/>
      <c r="E236" s="187"/>
      <c r="F236" s="187"/>
      <c r="G236" s="204"/>
      <c r="H236" s="204"/>
    </row>
    <row r="237" spans="1:8" hidden="1" outlineLevel="1">
      <c r="A237" s="189" t="s">
        <v>161</v>
      </c>
      <c r="B237" s="190"/>
      <c r="C237" s="191"/>
      <c r="D237" s="192"/>
      <c r="E237" s="192"/>
      <c r="F237" s="192"/>
      <c r="G237" s="205"/>
      <c r="H237" s="205"/>
    </row>
    <row r="238" spans="1:8" hidden="1" outlineLevel="1">
      <c r="A238" s="18" t="s">
        <v>20</v>
      </c>
      <c r="B238" s="52">
        <f t="shared" ref="B238:G238" si="67">IF(B234-B233&lt;0,0,B234-B233)</f>
        <v>0</v>
      </c>
      <c r="C238" s="52">
        <f t="shared" si="67"/>
        <v>0</v>
      </c>
      <c r="D238" s="52">
        <f t="shared" si="67"/>
        <v>0</v>
      </c>
      <c r="E238" s="52">
        <f t="shared" si="67"/>
        <v>0</v>
      </c>
      <c r="F238" s="52">
        <f t="shared" si="67"/>
        <v>0</v>
      </c>
      <c r="G238" s="30">
        <f t="shared" si="67"/>
        <v>0</v>
      </c>
      <c r="H238" s="30">
        <f>IF(H234-H233&lt;0,0,H234-H233)</f>
        <v>0</v>
      </c>
    </row>
    <row r="239" spans="1:8" ht="15" hidden="1" outlineLevel="1" thickBot="1">
      <c r="A239" s="194" t="s">
        <v>21</v>
      </c>
      <c r="B239" s="195" t="e">
        <f t="shared" ref="B239:G239" si="68">B238/B218</f>
        <v>#DIV/0!</v>
      </c>
      <c r="C239" s="195" t="e">
        <f t="shared" si="68"/>
        <v>#DIV/0!</v>
      </c>
      <c r="D239" s="195" t="e">
        <f t="shared" si="68"/>
        <v>#DIV/0!</v>
      </c>
      <c r="E239" s="195" t="e">
        <f t="shared" si="68"/>
        <v>#DIV/0!</v>
      </c>
      <c r="F239" s="195" t="e">
        <f t="shared" si="68"/>
        <v>#DIV/0!</v>
      </c>
      <c r="G239" s="196" t="e">
        <f t="shared" si="68"/>
        <v>#DIV/0!</v>
      </c>
      <c r="H239" s="196" t="e">
        <f>H238/H218</f>
        <v>#DIV/0!</v>
      </c>
    </row>
    <row r="240" spans="1:8" ht="15" collapsed="1" thickBot="1">
      <c r="B240" s="198">
        <f t="shared" ref="B240:G240" si="69">B228+B229-B230+B231</f>
        <v>0</v>
      </c>
      <c r="C240" s="198">
        <f t="shared" si="69"/>
        <v>0</v>
      </c>
      <c r="D240" s="198">
        <f t="shared" si="69"/>
        <v>0</v>
      </c>
      <c r="E240" s="198">
        <f t="shared" si="69"/>
        <v>0</v>
      </c>
      <c r="F240" s="198">
        <f t="shared" si="69"/>
        <v>0</v>
      </c>
      <c r="G240" s="198">
        <f t="shared" si="69"/>
        <v>0</v>
      </c>
      <c r="H240" s="198">
        <f>H228+H229-H230+H231</f>
        <v>0</v>
      </c>
    </row>
    <row r="241" spans="1:8" ht="40.799999999999997" thickBot="1">
      <c r="A241" s="1" t="s">
        <v>180</v>
      </c>
      <c r="B241" s="2" t="s">
        <v>1</v>
      </c>
      <c r="C241" s="2" t="s">
        <v>2</v>
      </c>
      <c r="D241" s="2" t="s">
        <v>3</v>
      </c>
      <c r="E241" s="2" t="s">
        <v>4</v>
      </c>
      <c r="F241" s="2" t="s">
        <v>5</v>
      </c>
      <c r="G241" s="3" t="s">
        <v>6</v>
      </c>
      <c r="H241" s="3" t="s">
        <v>6</v>
      </c>
    </row>
    <row r="242" spans="1:8">
      <c r="A242" s="157" t="s">
        <v>150</v>
      </c>
      <c r="B242" s="6">
        <f t="shared" ref="B242:G242" si="70">B2+B26+B50+B74+B98+B122+B146+B170+B194+B218-B5-B29-B53-B77-B101-B125-B149-B173-B197-B221</f>
        <v>483003</v>
      </c>
      <c r="C242" s="6">
        <f t="shared" si="70"/>
        <v>526900</v>
      </c>
      <c r="D242" s="6">
        <f t="shared" si="70"/>
        <v>600666</v>
      </c>
      <c r="E242" s="6">
        <f t="shared" si="70"/>
        <v>684759</v>
      </c>
      <c r="F242" s="6">
        <f t="shared" si="70"/>
        <v>780626</v>
      </c>
      <c r="G242" s="7">
        <f t="shared" si="70"/>
        <v>889914</v>
      </c>
      <c r="H242" s="7">
        <f>H2+H26+H50+H74+H98+H122+H146+H170+H194+H218-H5-H29-H53-H77-H101-H125-H149-H173-H197-H221</f>
        <v>889914</v>
      </c>
    </row>
    <row r="243" spans="1:8">
      <c r="A243" s="160" t="s">
        <v>151</v>
      </c>
      <c r="B243" s="211">
        <f t="shared" ref="B243:G244" si="71">B3+B27+B51+B75+B99+B123+B147+B171+B195+B219</f>
        <v>0</v>
      </c>
      <c r="C243" s="211">
        <f t="shared" si="71"/>
        <v>0</v>
      </c>
      <c r="D243" s="211">
        <f t="shared" si="71"/>
        <v>0</v>
      </c>
      <c r="E243" s="211">
        <f t="shared" si="71"/>
        <v>0</v>
      </c>
      <c r="F243" s="211">
        <f t="shared" si="71"/>
        <v>0</v>
      </c>
      <c r="G243" s="212">
        <f t="shared" si="71"/>
        <v>0</v>
      </c>
      <c r="H243" s="212">
        <f>H3+H27+H51+H75+H99+H123+H147+H171+H195+H219</f>
        <v>0</v>
      </c>
    </row>
    <row r="244" spans="1:8">
      <c r="A244" s="213" t="s">
        <v>169</v>
      </c>
      <c r="B244" s="214">
        <f t="shared" si="71"/>
        <v>0</v>
      </c>
      <c r="C244" s="214">
        <f t="shared" si="71"/>
        <v>0</v>
      </c>
      <c r="D244" s="214">
        <f t="shared" si="71"/>
        <v>0</v>
      </c>
      <c r="E244" s="214">
        <f t="shared" si="71"/>
        <v>0</v>
      </c>
      <c r="F244" s="214">
        <f t="shared" si="71"/>
        <v>0</v>
      </c>
      <c r="G244" s="215">
        <f t="shared" si="71"/>
        <v>0</v>
      </c>
      <c r="H244" s="215">
        <f>H4+H28+H52+H76+H100+H124+H148+H172+H196+H220</f>
        <v>0</v>
      </c>
    </row>
    <row r="245" spans="1:8">
      <c r="A245" s="157" t="s">
        <v>154</v>
      </c>
      <c r="B245" s="6">
        <f t="shared" ref="B245:G245" si="72">B6+B30+B54+B78+B102+B126+B150+B174+B198+B222-B8-B32-B56-B80-B104-B128-B152-B176-B200-B224</f>
        <v>481267</v>
      </c>
      <c r="C245" s="6">
        <f t="shared" si="72"/>
        <v>502000</v>
      </c>
      <c r="D245" s="6">
        <f t="shared" si="72"/>
        <v>592360</v>
      </c>
      <c r="E245" s="6">
        <f t="shared" si="72"/>
        <v>698985</v>
      </c>
      <c r="F245" s="6">
        <f t="shared" si="72"/>
        <v>780000</v>
      </c>
      <c r="G245" s="7">
        <f t="shared" si="72"/>
        <v>888000</v>
      </c>
      <c r="H245" s="7">
        <f>H6+H30+H54+H78+H102+H126+H150+H174+H198+H222-H8-H32-H56-H80-H104-H128-H152-H176-H200-H224</f>
        <v>888000</v>
      </c>
    </row>
    <row r="246" spans="1:8">
      <c r="A246" s="207" t="s">
        <v>155</v>
      </c>
      <c r="B246" s="211">
        <f t="shared" ref="B246:G246" si="73">B7+B31+B55+B79+B103+B127+B151+B175+B199+B223</f>
        <v>8915</v>
      </c>
      <c r="C246" s="211">
        <f t="shared" si="73"/>
        <v>9000</v>
      </c>
      <c r="D246" s="211">
        <f t="shared" si="73"/>
        <v>9000</v>
      </c>
      <c r="E246" s="211">
        <f t="shared" si="73"/>
        <v>9000</v>
      </c>
      <c r="F246" s="211">
        <f t="shared" si="73"/>
        <v>9000</v>
      </c>
      <c r="G246" s="212">
        <f t="shared" si="73"/>
        <v>9000</v>
      </c>
      <c r="H246" s="212">
        <f>H7+H31+H55+H79+H103+H127+H151+H175+H199+H223</f>
        <v>9000</v>
      </c>
    </row>
    <row r="247" spans="1:8">
      <c r="A247" s="213" t="s">
        <v>170</v>
      </c>
      <c r="B247" s="176">
        <f t="shared" ref="B247:G247" si="74">B9+B33+B57+B81+B105+B129+B153+B177+B201+B225</f>
        <v>0</v>
      </c>
      <c r="C247" s="176">
        <f t="shared" si="74"/>
        <v>0</v>
      </c>
      <c r="D247" s="176">
        <f t="shared" si="74"/>
        <v>0</v>
      </c>
      <c r="E247" s="176">
        <f t="shared" si="74"/>
        <v>0</v>
      </c>
      <c r="F247" s="176">
        <f t="shared" si="74"/>
        <v>0</v>
      </c>
      <c r="G247" s="216">
        <f t="shared" si="74"/>
        <v>0</v>
      </c>
      <c r="H247" s="216">
        <f>H9+H33+H57+H81+H105+H129+H153+H177+H201+H225</f>
        <v>0</v>
      </c>
    </row>
    <row r="248" spans="1:8">
      <c r="A248" s="208" t="s">
        <v>11</v>
      </c>
      <c r="B248" s="9">
        <f t="shared" ref="B248:G248" si="75">B242-B245</f>
        <v>1736</v>
      </c>
      <c r="C248" s="9">
        <f t="shared" si="75"/>
        <v>24900</v>
      </c>
      <c r="D248" s="9">
        <f t="shared" si="75"/>
        <v>8306</v>
      </c>
      <c r="E248" s="9">
        <f t="shared" si="75"/>
        <v>-14226</v>
      </c>
      <c r="F248" s="9">
        <f t="shared" si="75"/>
        <v>626</v>
      </c>
      <c r="G248" s="10">
        <f t="shared" si="75"/>
        <v>1914</v>
      </c>
      <c r="H248" s="10">
        <f>H242-H245</f>
        <v>1914</v>
      </c>
    </row>
    <row r="249" spans="1:8">
      <c r="A249" s="17" t="s">
        <v>158</v>
      </c>
      <c r="B249" s="6">
        <f t="shared" ref="B249:G249" si="76">B11+B35+B59+B83+B107+B131+B155+B179+B203+B227</f>
        <v>0</v>
      </c>
      <c r="C249" s="6">
        <f t="shared" si="76"/>
        <v>0</v>
      </c>
      <c r="D249" s="6">
        <f t="shared" si="76"/>
        <v>0</v>
      </c>
      <c r="E249" s="6">
        <f t="shared" si="76"/>
        <v>0</v>
      </c>
      <c r="F249" s="6">
        <f t="shared" si="76"/>
        <v>0</v>
      </c>
      <c r="G249" s="7">
        <f t="shared" si="76"/>
        <v>0</v>
      </c>
      <c r="H249" s="7">
        <f>H11+H35+H59+H83+H107+H131+H155+H179+H203+H227</f>
        <v>0</v>
      </c>
    </row>
    <row r="250" spans="1:8">
      <c r="A250" s="17" t="s">
        <v>13</v>
      </c>
      <c r="B250" s="9">
        <f t="shared" ref="B250:G250" si="77">B248+B249</f>
        <v>1736</v>
      </c>
      <c r="C250" s="9">
        <f t="shared" si="77"/>
        <v>24900</v>
      </c>
      <c r="D250" s="9">
        <f t="shared" si="77"/>
        <v>8306</v>
      </c>
      <c r="E250" s="9">
        <f t="shared" si="77"/>
        <v>-14226</v>
      </c>
      <c r="F250" s="9">
        <f t="shared" si="77"/>
        <v>626</v>
      </c>
      <c r="G250" s="10">
        <f t="shared" si="77"/>
        <v>1914</v>
      </c>
      <c r="H250" s="10">
        <f>H248+H249</f>
        <v>1914</v>
      </c>
    </row>
    <row r="251" spans="1:8">
      <c r="A251" s="17" t="s">
        <v>159</v>
      </c>
      <c r="B251" s="6">
        <f t="shared" ref="B251:G253" si="78">B13+B37+B61+B85+B109+B133+B157+B181+B205+B229</f>
        <v>0</v>
      </c>
      <c r="C251" s="6">
        <f t="shared" si="78"/>
        <v>0</v>
      </c>
      <c r="D251" s="6">
        <f t="shared" si="78"/>
        <v>0</v>
      </c>
      <c r="E251" s="6">
        <f t="shared" si="78"/>
        <v>0</v>
      </c>
      <c r="F251" s="6">
        <f t="shared" si="78"/>
        <v>0</v>
      </c>
      <c r="G251" s="7">
        <f t="shared" si="78"/>
        <v>0</v>
      </c>
      <c r="H251" s="7">
        <f>H13+H37+H61+H85+H109+H133+H157+H181+H205+H229</f>
        <v>0</v>
      </c>
    </row>
    <row r="252" spans="1:8" ht="27">
      <c r="A252" s="18" t="s">
        <v>15</v>
      </c>
      <c r="B252" s="6">
        <f t="shared" si="78"/>
        <v>1804</v>
      </c>
      <c r="C252" s="6">
        <f t="shared" si="78"/>
        <v>15000</v>
      </c>
      <c r="D252" s="6">
        <f t="shared" si="78"/>
        <v>5000</v>
      </c>
      <c r="E252" s="6">
        <f t="shared" si="78"/>
        <v>-5000</v>
      </c>
      <c r="F252" s="6">
        <f t="shared" si="78"/>
        <v>1000</v>
      </c>
      <c r="G252" s="7">
        <f t="shared" si="78"/>
        <v>9000</v>
      </c>
      <c r="H252" s="7">
        <f>H14+H38+H62+H86+H110+H134+H158+H182+H206+H230</f>
        <v>9000</v>
      </c>
    </row>
    <row r="253" spans="1:8">
      <c r="A253" s="18" t="s">
        <v>16</v>
      </c>
      <c r="B253" s="6">
        <f t="shared" si="78"/>
        <v>68</v>
      </c>
      <c r="C253" s="6">
        <f t="shared" si="78"/>
        <v>-9900</v>
      </c>
      <c r="D253" s="6">
        <f t="shared" si="78"/>
        <v>-3306</v>
      </c>
      <c r="E253" s="6">
        <f t="shared" si="78"/>
        <v>9226</v>
      </c>
      <c r="F253" s="6">
        <f t="shared" si="78"/>
        <v>374</v>
      </c>
      <c r="G253" s="7">
        <f t="shared" si="78"/>
        <v>7086</v>
      </c>
      <c r="H253" s="7">
        <f>H15+H39+H63+H87+H111+H135+H159+H183+H207+H231</f>
        <v>7086</v>
      </c>
    </row>
    <row r="254" spans="1:8">
      <c r="A254" s="181"/>
      <c r="B254" s="217"/>
      <c r="C254" s="217"/>
      <c r="D254" s="217"/>
      <c r="E254" s="217"/>
      <c r="F254" s="217"/>
      <c r="G254" s="218"/>
      <c r="H254" s="218"/>
    </row>
    <row r="255" spans="1:8">
      <c r="A255" s="18" t="s">
        <v>17</v>
      </c>
      <c r="B255" s="6">
        <f>B17+B41+B65+B89+B113+B137+B161+B185+B209+B233</f>
        <v>58512</v>
      </c>
      <c r="C255" s="22">
        <f t="shared" ref="C255:H255" si="79">B255+C252</f>
        <v>73512</v>
      </c>
      <c r="D255" s="22">
        <f t="shared" si="79"/>
        <v>78512</v>
      </c>
      <c r="E255" s="22">
        <f t="shared" si="79"/>
        <v>73512</v>
      </c>
      <c r="F255" s="22">
        <f t="shared" si="79"/>
        <v>74512</v>
      </c>
      <c r="G255" s="184">
        <f t="shared" si="79"/>
        <v>83512</v>
      </c>
      <c r="H255" s="184">
        <f t="shared" si="79"/>
        <v>92512</v>
      </c>
    </row>
    <row r="256" spans="1:8">
      <c r="A256" s="24" t="s">
        <v>18</v>
      </c>
      <c r="B256" s="6">
        <f>B18+B42+B66+B90+B114+B138+B162+B186+B210+B234</f>
        <v>0</v>
      </c>
      <c r="C256" s="6">
        <f t="shared" ref="C256:G259" si="80">C18+C42+C66+C90+C114+C138+C162+C186+C210+C234</f>
        <v>0</v>
      </c>
      <c r="D256" s="6">
        <f t="shared" si="80"/>
        <v>0</v>
      </c>
      <c r="E256" s="6">
        <f t="shared" si="80"/>
        <v>0</v>
      </c>
      <c r="F256" s="6">
        <f t="shared" si="80"/>
        <v>0</v>
      </c>
      <c r="G256" s="7">
        <f t="shared" si="80"/>
        <v>0</v>
      </c>
      <c r="H256" s="7">
        <f>H18+H42+H66+H90+H114+H138+H162+H186+H210+H234</f>
        <v>0</v>
      </c>
    </row>
    <row r="257" spans="1:8" ht="20.399999999999999">
      <c r="A257" s="25" t="s">
        <v>19</v>
      </c>
      <c r="B257" s="211">
        <f>B19+B43+B67+B91+B115+B139+B163+B187+B211+B235</f>
        <v>0</v>
      </c>
      <c r="C257" s="211">
        <f t="shared" si="80"/>
        <v>0</v>
      </c>
      <c r="D257" s="211">
        <f t="shared" si="80"/>
        <v>0</v>
      </c>
      <c r="E257" s="211">
        <f t="shared" si="80"/>
        <v>0</v>
      </c>
      <c r="F257" s="211">
        <f t="shared" si="80"/>
        <v>0</v>
      </c>
      <c r="G257" s="212">
        <f t="shared" si="80"/>
        <v>0</v>
      </c>
      <c r="H257" s="212">
        <f>H19+H43+H67+H91+H115+H139+H163+H187+H211+H235</f>
        <v>0</v>
      </c>
    </row>
    <row r="258" spans="1:8">
      <c r="A258" s="25" t="s">
        <v>160</v>
      </c>
      <c r="B258" s="211">
        <f>B20+B44+B68+B92+B116+B140+B164+B188+B212+B236</f>
        <v>0</v>
      </c>
      <c r="C258" s="211">
        <f t="shared" si="80"/>
        <v>0</v>
      </c>
      <c r="D258" s="211">
        <f t="shared" si="80"/>
        <v>0</v>
      </c>
      <c r="E258" s="211">
        <f t="shared" si="80"/>
        <v>0</v>
      </c>
      <c r="F258" s="211">
        <f t="shared" si="80"/>
        <v>0</v>
      </c>
      <c r="G258" s="212">
        <f t="shared" si="80"/>
        <v>0</v>
      </c>
      <c r="H258" s="212">
        <f>H20+H44+H68+H92+H116+H140+H164+H188+H212+H236</f>
        <v>0</v>
      </c>
    </row>
    <row r="259" spans="1:8">
      <c r="A259" s="189" t="s">
        <v>161</v>
      </c>
      <c r="B259" s="214">
        <f>B21+B45+B69+B93+B117+B141+B165+B189+B213+B237</f>
        <v>0</v>
      </c>
      <c r="C259" s="214">
        <f t="shared" si="80"/>
        <v>0</v>
      </c>
      <c r="D259" s="214">
        <f t="shared" si="80"/>
        <v>0</v>
      </c>
      <c r="E259" s="214">
        <f t="shared" si="80"/>
        <v>0</v>
      </c>
      <c r="F259" s="214">
        <f t="shared" si="80"/>
        <v>0</v>
      </c>
      <c r="G259" s="215">
        <f t="shared" si="80"/>
        <v>0</v>
      </c>
      <c r="H259" s="215">
        <f>H21+H45+H69+H93+H117+H141+H165+H189+H213+H237</f>
        <v>0</v>
      </c>
    </row>
    <row r="260" spans="1:8">
      <c r="A260" s="18" t="s">
        <v>20</v>
      </c>
      <c r="B260" s="52">
        <f t="shared" ref="B260:G260" si="81">IF(B256-B255&lt;0,0,B256-B255)</f>
        <v>0</v>
      </c>
      <c r="C260" s="52">
        <f t="shared" si="81"/>
        <v>0</v>
      </c>
      <c r="D260" s="52">
        <f t="shared" si="81"/>
        <v>0</v>
      </c>
      <c r="E260" s="52">
        <f t="shared" si="81"/>
        <v>0</v>
      </c>
      <c r="F260" s="52">
        <f t="shared" si="81"/>
        <v>0</v>
      </c>
      <c r="G260" s="30">
        <f t="shared" si="81"/>
        <v>0</v>
      </c>
      <c r="H260" s="30">
        <f>IF(H256-H255&lt;0,0,H256-H255)</f>
        <v>0</v>
      </c>
    </row>
    <row r="261" spans="1:8" ht="15" thickBot="1">
      <c r="A261" s="194" t="s">
        <v>21</v>
      </c>
      <c r="B261" s="195">
        <f t="shared" ref="B261:G261" si="82">B260/B242</f>
        <v>0</v>
      </c>
      <c r="C261" s="195">
        <f t="shared" si="82"/>
        <v>0</v>
      </c>
      <c r="D261" s="195">
        <f t="shared" si="82"/>
        <v>0</v>
      </c>
      <c r="E261" s="195">
        <f t="shared" si="82"/>
        <v>0</v>
      </c>
      <c r="F261" s="195">
        <f t="shared" si="82"/>
        <v>0</v>
      </c>
      <c r="G261" s="196">
        <f t="shared" si="82"/>
        <v>0</v>
      </c>
      <c r="H261" s="196">
        <f>H260/H242</f>
        <v>0</v>
      </c>
    </row>
    <row r="262" spans="1:8">
      <c r="A262" s="197"/>
      <c r="B262" s="219"/>
    </row>
    <row r="263" spans="1:8">
      <c r="A263" s="220" t="s">
        <v>92</v>
      </c>
      <c r="B263" s="52">
        <f t="shared" ref="B263:G263" si="83">B250+B251-B252+B253</f>
        <v>0</v>
      </c>
      <c r="C263" s="52">
        <f t="shared" si="83"/>
        <v>0</v>
      </c>
      <c r="D263" s="52">
        <f t="shared" si="83"/>
        <v>0</v>
      </c>
      <c r="E263" s="52">
        <f t="shared" si="83"/>
        <v>0</v>
      </c>
      <c r="F263" s="52">
        <f t="shared" si="83"/>
        <v>0</v>
      </c>
      <c r="G263" s="52">
        <f t="shared" si="83"/>
        <v>0</v>
      </c>
      <c r="H263" s="52">
        <f>H250+H251-H252+H253</f>
        <v>0</v>
      </c>
    </row>
    <row r="264" spans="1:8">
      <c r="A264" s="220" t="s">
        <v>181</v>
      </c>
      <c r="B264" s="52">
        <f t="shared" ref="B264:G264" si="84">B5-B8+B29-B32+B53-B56+B77-B80+B101-B104+B125-B128+B149-B152+B173-B176+B197-B200+B221-B224</f>
        <v>0</v>
      </c>
      <c r="C264" s="52">
        <f t="shared" si="84"/>
        <v>0</v>
      </c>
      <c r="D264" s="52">
        <f t="shared" si="84"/>
        <v>0</v>
      </c>
      <c r="E264" s="52">
        <f t="shared" si="84"/>
        <v>0</v>
      </c>
      <c r="F264" s="52">
        <f t="shared" si="84"/>
        <v>0</v>
      </c>
      <c r="G264" s="52">
        <f t="shared" si="84"/>
        <v>0</v>
      </c>
      <c r="H264" s="52">
        <f>H5-H8+H29-H32+H53-H56+H77-H80+H101-H104+H125-H128+H149-H152+H173-H176+H197-H200+H221-H224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77B9B-B8FD-422E-84AF-87457E574A3B}">
  <dimension ref="A1:J22"/>
  <sheetViews>
    <sheetView workbookViewId="0">
      <selection activeCell="A11" sqref="A11"/>
    </sheetView>
  </sheetViews>
  <sheetFormatPr defaultRowHeight="14.4"/>
  <cols>
    <col min="1" max="1" width="46.33203125" customWidth="1"/>
    <col min="2" max="2" width="12" customWidth="1"/>
    <col min="3" max="3" width="12.33203125" customWidth="1"/>
    <col min="4" max="6" width="12.109375" customWidth="1"/>
    <col min="7" max="8" width="12.5546875" customWidth="1"/>
    <col min="9" max="9" width="10.88671875" customWidth="1"/>
    <col min="11" max="11" width="11.109375" customWidth="1"/>
    <col min="257" max="257" width="46.33203125" customWidth="1"/>
    <col min="258" max="258" width="12" customWidth="1"/>
    <col min="259" max="259" width="12.33203125" customWidth="1"/>
    <col min="260" max="262" width="12.109375" customWidth="1"/>
    <col min="263" max="264" width="12.5546875" customWidth="1"/>
    <col min="265" max="265" width="10.88671875" customWidth="1"/>
    <col min="267" max="267" width="11.109375" customWidth="1"/>
    <col min="513" max="513" width="46.33203125" customWidth="1"/>
    <col min="514" max="514" width="12" customWidth="1"/>
    <col min="515" max="515" width="12.33203125" customWidth="1"/>
    <col min="516" max="518" width="12.109375" customWidth="1"/>
    <col min="519" max="520" width="12.5546875" customWidth="1"/>
    <col min="521" max="521" width="10.88671875" customWidth="1"/>
    <col min="523" max="523" width="11.109375" customWidth="1"/>
    <col min="769" max="769" width="46.33203125" customWidth="1"/>
    <col min="770" max="770" width="12" customWidth="1"/>
    <col min="771" max="771" width="12.33203125" customWidth="1"/>
    <col min="772" max="774" width="12.109375" customWidth="1"/>
    <col min="775" max="776" width="12.5546875" customWidth="1"/>
    <col min="777" max="777" width="10.88671875" customWidth="1"/>
    <col min="779" max="779" width="11.109375" customWidth="1"/>
    <col min="1025" max="1025" width="46.33203125" customWidth="1"/>
    <col min="1026" max="1026" width="12" customWidth="1"/>
    <col min="1027" max="1027" width="12.33203125" customWidth="1"/>
    <col min="1028" max="1030" width="12.109375" customWidth="1"/>
    <col min="1031" max="1032" width="12.5546875" customWidth="1"/>
    <col min="1033" max="1033" width="10.88671875" customWidth="1"/>
    <col min="1035" max="1035" width="11.109375" customWidth="1"/>
    <col min="1281" max="1281" width="46.33203125" customWidth="1"/>
    <col min="1282" max="1282" width="12" customWidth="1"/>
    <col min="1283" max="1283" width="12.33203125" customWidth="1"/>
    <col min="1284" max="1286" width="12.109375" customWidth="1"/>
    <col min="1287" max="1288" width="12.5546875" customWidth="1"/>
    <col min="1289" max="1289" width="10.88671875" customWidth="1"/>
    <col min="1291" max="1291" width="11.109375" customWidth="1"/>
    <col min="1537" max="1537" width="46.33203125" customWidth="1"/>
    <col min="1538" max="1538" width="12" customWidth="1"/>
    <col min="1539" max="1539" width="12.33203125" customWidth="1"/>
    <col min="1540" max="1542" width="12.109375" customWidth="1"/>
    <col min="1543" max="1544" width="12.5546875" customWidth="1"/>
    <col min="1545" max="1545" width="10.88671875" customWidth="1"/>
    <col min="1547" max="1547" width="11.109375" customWidth="1"/>
    <col min="1793" max="1793" width="46.33203125" customWidth="1"/>
    <col min="1794" max="1794" width="12" customWidth="1"/>
    <col min="1795" max="1795" width="12.33203125" customWidth="1"/>
    <col min="1796" max="1798" width="12.109375" customWidth="1"/>
    <col min="1799" max="1800" width="12.5546875" customWidth="1"/>
    <col min="1801" max="1801" width="10.88671875" customWidth="1"/>
    <col min="1803" max="1803" width="11.109375" customWidth="1"/>
    <col min="2049" max="2049" width="46.33203125" customWidth="1"/>
    <col min="2050" max="2050" width="12" customWidth="1"/>
    <col min="2051" max="2051" width="12.33203125" customWidth="1"/>
    <col min="2052" max="2054" width="12.109375" customWidth="1"/>
    <col min="2055" max="2056" width="12.5546875" customWidth="1"/>
    <col min="2057" max="2057" width="10.88671875" customWidth="1"/>
    <col min="2059" max="2059" width="11.109375" customWidth="1"/>
    <col min="2305" max="2305" width="46.33203125" customWidth="1"/>
    <col min="2306" max="2306" width="12" customWidth="1"/>
    <col min="2307" max="2307" width="12.33203125" customWidth="1"/>
    <col min="2308" max="2310" width="12.109375" customWidth="1"/>
    <col min="2311" max="2312" width="12.5546875" customWidth="1"/>
    <col min="2313" max="2313" width="10.88671875" customWidth="1"/>
    <col min="2315" max="2315" width="11.109375" customWidth="1"/>
    <col min="2561" max="2561" width="46.33203125" customWidth="1"/>
    <col min="2562" max="2562" width="12" customWidth="1"/>
    <col min="2563" max="2563" width="12.33203125" customWidth="1"/>
    <col min="2564" max="2566" width="12.109375" customWidth="1"/>
    <col min="2567" max="2568" width="12.5546875" customWidth="1"/>
    <col min="2569" max="2569" width="10.88671875" customWidth="1"/>
    <col min="2571" max="2571" width="11.109375" customWidth="1"/>
    <col min="2817" max="2817" width="46.33203125" customWidth="1"/>
    <col min="2818" max="2818" width="12" customWidth="1"/>
    <col min="2819" max="2819" width="12.33203125" customWidth="1"/>
    <col min="2820" max="2822" width="12.109375" customWidth="1"/>
    <col min="2823" max="2824" width="12.5546875" customWidth="1"/>
    <col min="2825" max="2825" width="10.88671875" customWidth="1"/>
    <col min="2827" max="2827" width="11.109375" customWidth="1"/>
    <col min="3073" max="3073" width="46.33203125" customWidth="1"/>
    <col min="3074" max="3074" width="12" customWidth="1"/>
    <col min="3075" max="3075" width="12.33203125" customWidth="1"/>
    <col min="3076" max="3078" width="12.109375" customWidth="1"/>
    <col min="3079" max="3080" width="12.5546875" customWidth="1"/>
    <col min="3081" max="3081" width="10.88671875" customWidth="1"/>
    <col min="3083" max="3083" width="11.109375" customWidth="1"/>
    <col min="3329" max="3329" width="46.33203125" customWidth="1"/>
    <col min="3330" max="3330" width="12" customWidth="1"/>
    <col min="3331" max="3331" width="12.33203125" customWidth="1"/>
    <col min="3332" max="3334" width="12.109375" customWidth="1"/>
    <col min="3335" max="3336" width="12.5546875" customWidth="1"/>
    <col min="3337" max="3337" width="10.88671875" customWidth="1"/>
    <col min="3339" max="3339" width="11.109375" customWidth="1"/>
    <col min="3585" max="3585" width="46.33203125" customWidth="1"/>
    <col min="3586" max="3586" width="12" customWidth="1"/>
    <col min="3587" max="3587" width="12.33203125" customWidth="1"/>
    <col min="3588" max="3590" width="12.109375" customWidth="1"/>
    <col min="3591" max="3592" width="12.5546875" customWidth="1"/>
    <col min="3593" max="3593" width="10.88671875" customWidth="1"/>
    <col min="3595" max="3595" width="11.109375" customWidth="1"/>
    <col min="3841" max="3841" width="46.33203125" customWidth="1"/>
    <col min="3842" max="3842" width="12" customWidth="1"/>
    <col min="3843" max="3843" width="12.33203125" customWidth="1"/>
    <col min="3844" max="3846" width="12.109375" customWidth="1"/>
    <col min="3847" max="3848" width="12.5546875" customWidth="1"/>
    <col min="3849" max="3849" width="10.88671875" customWidth="1"/>
    <col min="3851" max="3851" width="11.109375" customWidth="1"/>
    <col min="4097" max="4097" width="46.33203125" customWidth="1"/>
    <col min="4098" max="4098" width="12" customWidth="1"/>
    <col min="4099" max="4099" width="12.33203125" customWidth="1"/>
    <col min="4100" max="4102" width="12.109375" customWidth="1"/>
    <col min="4103" max="4104" width="12.5546875" customWidth="1"/>
    <col min="4105" max="4105" width="10.88671875" customWidth="1"/>
    <col min="4107" max="4107" width="11.109375" customWidth="1"/>
    <col min="4353" max="4353" width="46.33203125" customWidth="1"/>
    <col min="4354" max="4354" width="12" customWidth="1"/>
    <col min="4355" max="4355" width="12.33203125" customWidth="1"/>
    <col min="4356" max="4358" width="12.109375" customWidth="1"/>
    <col min="4359" max="4360" width="12.5546875" customWidth="1"/>
    <col min="4361" max="4361" width="10.88671875" customWidth="1"/>
    <col min="4363" max="4363" width="11.109375" customWidth="1"/>
    <col min="4609" max="4609" width="46.33203125" customWidth="1"/>
    <col min="4610" max="4610" width="12" customWidth="1"/>
    <col min="4611" max="4611" width="12.33203125" customWidth="1"/>
    <col min="4612" max="4614" width="12.109375" customWidth="1"/>
    <col min="4615" max="4616" width="12.5546875" customWidth="1"/>
    <col min="4617" max="4617" width="10.88671875" customWidth="1"/>
    <col min="4619" max="4619" width="11.109375" customWidth="1"/>
    <col min="4865" max="4865" width="46.33203125" customWidth="1"/>
    <col min="4866" max="4866" width="12" customWidth="1"/>
    <col min="4867" max="4867" width="12.33203125" customWidth="1"/>
    <col min="4868" max="4870" width="12.109375" customWidth="1"/>
    <col min="4871" max="4872" width="12.5546875" customWidth="1"/>
    <col min="4873" max="4873" width="10.88671875" customWidth="1"/>
    <col min="4875" max="4875" width="11.109375" customWidth="1"/>
    <col min="5121" max="5121" width="46.33203125" customWidth="1"/>
    <col min="5122" max="5122" width="12" customWidth="1"/>
    <col min="5123" max="5123" width="12.33203125" customWidth="1"/>
    <col min="5124" max="5126" width="12.109375" customWidth="1"/>
    <col min="5127" max="5128" width="12.5546875" customWidth="1"/>
    <col min="5129" max="5129" width="10.88671875" customWidth="1"/>
    <col min="5131" max="5131" width="11.109375" customWidth="1"/>
    <col min="5377" max="5377" width="46.33203125" customWidth="1"/>
    <col min="5378" max="5378" width="12" customWidth="1"/>
    <col min="5379" max="5379" width="12.33203125" customWidth="1"/>
    <col min="5380" max="5382" width="12.109375" customWidth="1"/>
    <col min="5383" max="5384" width="12.5546875" customWidth="1"/>
    <col min="5385" max="5385" width="10.88671875" customWidth="1"/>
    <col min="5387" max="5387" width="11.109375" customWidth="1"/>
    <col min="5633" max="5633" width="46.33203125" customWidth="1"/>
    <col min="5634" max="5634" width="12" customWidth="1"/>
    <col min="5635" max="5635" width="12.33203125" customWidth="1"/>
    <col min="5636" max="5638" width="12.109375" customWidth="1"/>
    <col min="5639" max="5640" width="12.5546875" customWidth="1"/>
    <col min="5641" max="5641" width="10.88671875" customWidth="1"/>
    <col min="5643" max="5643" width="11.109375" customWidth="1"/>
    <col min="5889" max="5889" width="46.33203125" customWidth="1"/>
    <col min="5890" max="5890" width="12" customWidth="1"/>
    <col min="5891" max="5891" width="12.33203125" customWidth="1"/>
    <col min="5892" max="5894" width="12.109375" customWidth="1"/>
    <col min="5895" max="5896" width="12.5546875" customWidth="1"/>
    <col min="5897" max="5897" width="10.88671875" customWidth="1"/>
    <col min="5899" max="5899" width="11.109375" customWidth="1"/>
    <col min="6145" max="6145" width="46.33203125" customWidth="1"/>
    <col min="6146" max="6146" width="12" customWidth="1"/>
    <col min="6147" max="6147" width="12.33203125" customWidth="1"/>
    <col min="6148" max="6150" width="12.109375" customWidth="1"/>
    <col min="6151" max="6152" width="12.5546875" customWidth="1"/>
    <col min="6153" max="6153" width="10.88671875" customWidth="1"/>
    <col min="6155" max="6155" width="11.109375" customWidth="1"/>
    <col min="6401" max="6401" width="46.33203125" customWidth="1"/>
    <col min="6402" max="6402" width="12" customWidth="1"/>
    <col min="6403" max="6403" width="12.33203125" customWidth="1"/>
    <col min="6404" max="6406" width="12.109375" customWidth="1"/>
    <col min="6407" max="6408" width="12.5546875" customWidth="1"/>
    <col min="6409" max="6409" width="10.88671875" customWidth="1"/>
    <col min="6411" max="6411" width="11.109375" customWidth="1"/>
    <col min="6657" max="6657" width="46.33203125" customWidth="1"/>
    <col min="6658" max="6658" width="12" customWidth="1"/>
    <col min="6659" max="6659" width="12.33203125" customWidth="1"/>
    <col min="6660" max="6662" width="12.109375" customWidth="1"/>
    <col min="6663" max="6664" width="12.5546875" customWidth="1"/>
    <col min="6665" max="6665" width="10.88671875" customWidth="1"/>
    <col min="6667" max="6667" width="11.109375" customWidth="1"/>
    <col min="6913" max="6913" width="46.33203125" customWidth="1"/>
    <col min="6914" max="6914" width="12" customWidth="1"/>
    <col min="6915" max="6915" width="12.33203125" customWidth="1"/>
    <col min="6916" max="6918" width="12.109375" customWidth="1"/>
    <col min="6919" max="6920" width="12.5546875" customWidth="1"/>
    <col min="6921" max="6921" width="10.88671875" customWidth="1"/>
    <col min="6923" max="6923" width="11.109375" customWidth="1"/>
    <col min="7169" max="7169" width="46.33203125" customWidth="1"/>
    <col min="7170" max="7170" width="12" customWidth="1"/>
    <col min="7171" max="7171" width="12.33203125" customWidth="1"/>
    <col min="7172" max="7174" width="12.109375" customWidth="1"/>
    <col min="7175" max="7176" width="12.5546875" customWidth="1"/>
    <col min="7177" max="7177" width="10.88671875" customWidth="1"/>
    <col min="7179" max="7179" width="11.109375" customWidth="1"/>
    <col min="7425" max="7425" width="46.33203125" customWidth="1"/>
    <col min="7426" max="7426" width="12" customWidth="1"/>
    <col min="7427" max="7427" width="12.33203125" customWidth="1"/>
    <col min="7428" max="7430" width="12.109375" customWidth="1"/>
    <col min="7431" max="7432" width="12.5546875" customWidth="1"/>
    <col min="7433" max="7433" width="10.88671875" customWidth="1"/>
    <col min="7435" max="7435" width="11.109375" customWidth="1"/>
    <col min="7681" max="7681" width="46.33203125" customWidth="1"/>
    <col min="7682" max="7682" width="12" customWidth="1"/>
    <col min="7683" max="7683" width="12.33203125" customWidth="1"/>
    <col min="7684" max="7686" width="12.109375" customWidth="1"/>
    <col min="7687" max="7688" width="12.5546875" customWidth="1"/>
    <col min="7689" max="7689" width="10.88671875" customWidth="1"/>
    <col min="7691" max="7691" width="11.109375" customWidth="1"/>
    <col min="7937" max="7937" width="46.33203125" customWidth="1"/>
    <col min="7938" max="7938" width="12" customWidth="1"/>
    <col min="7939" max="7939" width="12.33203125" customWidth="1"/>
    <col min="7940" max="7942" width="12.109375" customWidth="1"/>
    <col min="7943" max="7944" width="12.5546875" customWidth="1"/>
    <col min="7945" max="7945" width="10.88671875" customWidth="1"/>
    <col min="7947" max="7947" width="11.109375" customWidth="1"/>
    <col min="8193" max="8193" width="46.33203125" customWidth="1"/>
    <col min="8194" max="8194" width="12" customWidth="1"/>
    <col min="8195" max="8195" width="12.33203125" customWidth="1"/>
    <col min="8196" max="8198" width="12.109375" customWidth="1"/>
    <col min="8199" max="8200" width="12.5546875" customWidth="1"/>
    <col min="8201" max="8201" width="10.88671875" customWidth="1"/>
    <col min="8203" max="8203" width="11.109375" customWidth="1"/>
    <col min="8449" max="8449" width="46.33203125" customWidth="1"/>
    <col min="8450" max="8450" width="12" customWidth="1"/>
    <col min="8451" max="8451" width="12.33203125" customWidth="1"/>
    <col min="8452" max="8454" width="12.109375" customWidth="1"/>
    <col min="8455" max="8456" width="12.5546875" customWidth="1"/>
    <col min="8457" max="8457" width="10.88671875" customWidth="1"/>
    <col min="8459" max="8459" width="11.109375" customWidth="1"/>
    <col min="8705" max="8705" width="46.33203125" customWidth="1"/>
    <col min="8706" max="8706" width="12" customWidth="1"/>
    <col min="8707" max="8707" width="12.33203125" customWidth="1"/>
    <col min="8708" max="8710" width="12.109375" customWidth="1"/>
    <col min="8711" max="8712" width="12.5546875" customWidth="1"/>
    <col min="8713" max="8713" width="10.88671875" customWidth="1"/>
    <col min="8715" max="8715" width="11.109375" customWidth="1"/>
    <col min="8961" max="8961" width="46.33203125" customWidth="1"/>
    <col min="8962" max="8962" width="12" customWidth="1"/>
    <col min="8963" max="8963" width="12.33203125" customWidth="1"/>
    <col min="8964" max="8966" width="12.109375" customWidth="1"/>
    <col min="8967" max="8968" width="12.5546875" customWidth="1"/>
    <col min="8969" max="8969" width="10.88671875" customWidth="1"/>
    <col min="8971" max="8971" width="11.109375" customWidth="1"/>
    <col min="9217" max="9217" width="46.33203125" customWidth="1"/>
    <col min="9218" max="9218" width="12" customWidth="1"/>
    <col min="9219" max="9219" width="12.33203125" customWidth="1"/>
    <col min="9220" max="9222" width="12.109375" customWidth="1"/>
    <col min="9223" max="9224" width="12.5546875" customWidth="1"/>
    <col min="9225" max="9225" width="10.88671875" customWidth="1"/>
    <col min="9227" max="9227" width="11.109375" customWidth="1"/>
    <col min="9473" max="9473" width="46.33203125" customWidth="1"/>
    <col min="9474" max="9474" width="12" customWidth="1"/>
    <col min="9475" max="9475" width="12.33203125" customWidth="1"/>
    <col min="9476" max="9478" width="12.109375" customWidth="1"/>
    <col min="9479" max="9480" width="12.5546875" customWidth="1"/>
    <col min="9481" max="9481" width="10.88671875" customWidth="1"/>
    <col min="9483" max="9483" width="11.109375" customWidth="1"/>
    <col min="9729" max="9729" width="46.33203125" customWidth="1"/>
    <col min="9730" max="9730" width="12" customWidth="1"/>
    <col min="9731" max="9731" width="12.33203125" customWidth="1"/>
    <col min="9732" max="9734" width="12.109375" customWidth="1"/>
    <col min="9735" max="9736" width="12.5546875" customWidth="1"/>
    <col min="9737" max="9737" width="10.88671875" customWidth="1"/>
    <col min="9739" max="9739" width="11.109375" customWidth="1"/>
    <col min="9985" max="9985" width="46.33203125" customWidth="1"/>
    <col min="9986" max="9986" width="12" customWidth="1"/>
    <col min="9987" max="9987" width="12.33203125" customWidth="1"/>
    <col min="9988" max="9990" width="12.109375" customWidth="1"/>
    <col min="9991" max="9992" width="12.5546875" customWidth="1"/>
    <col min="9993" max="9993" width="10.88671875" customWidth="1"/>
    <col min="9995" max="9995" width="11.109375" customWidth="1"/>
    <col min="10241" max="10241" width="46.33203125" customWidth="1"/>
    <col min="10242" max="10242" width="12" customWidth="1"/>
    <col min="10243" max="10243" width="12.33203125" customWidth="1"/>
    <col min="10244" max="10246" width="12.109375" customWidth="1"/>
    <col min="10247" max="10248" width="12.5546875" customWidth="1"/>
    <col min="10249" max="10249" width="10.88671875" customWidth="1"/>
    <col min="10251" max="10251" width="11.109375" customWidth="1"/>
    <col min="10497" max="10497" width="46.33203125" customWidth="1"/>
    <col min="10498" max="10498" width="12" customWidth="1"/>
    <col min="10499" max="10499" width="12.33203125" customWidth="1"/>
    <col min="10500" max="10502" width="12.109375" customWidth="1"/>
    <col min="10503" max="10504" width="12.5546875" customWidth="1"/>
    <col min="10505" max="10505" width="10.88671875" customWidth="1"/>
    <col min="10507" max="10507" width="11.109375" customWidth="1"/>
    <col min="10753" max="10753" width="46.33203125" customWidth="1"/>
    <col min="10754" max="10754" width="12" customWidth="1"/>
    <col min="10755" max="10755" width="12.33203125" customWidth="1"/>
    <col min="10756" max="10758" width="12.109375" customWidth="1"/>
    <col min="10759" max="10760" width="12.5546875" customWidth="1"/>
    <col min="10761" max="10761" width="10.88671875" customWidth="1"/>
    <col min="10763" max="10763" width="11.109375" customWidth="1"/>
    <col min="11009" max="11009" width="46.33203125" customWidth="1"/>
    <col min="11010" max="11010" width="12" customWidth="1"/>
    <col min="11011" max="11011" width="12.33203125" customWidth="1"/>
    <col min="11012" max="11014" width="12.109375" customWidth="1"/>
    <col min="11015" max="11016" width="12.5546875" customWidth="1"/>
    <col min="11017" max="11017" width="10.88671875" customWidth="1"/>
    <col min="11019" max="11019" width="11.109375" customWidth="1"/>
    <col min="11265" max="11265" width="46.33203125" customWidth="1"/>
    <col min="11266" max="11266" width="12" customWidth="1"/>
    <col min="11267" max="11267" width="12.33203125" customWidth="1"/>
    <col min="11268" max="11270" width="12.109375" customWidth="1"/>
    <col min="11271" max="11272" width="12.5546875" customWidth="1"/>
    <col min="11273" max="11273" width="10.88671875" customWidth="1"/>
    <col min="11275" max="11275" width="11.109375" customWidth="1"/>
    <col min="11521" max="11521" width="46.33203125" customWidth="1"/>
    <col min="11522" max="11522" width="12" customWidth="1"/>
    <col min="11523" max="11523" width="12.33203125" customWidth="1"/>
    <col min="11524" max="11526" width="12.109375" customWidth="1"/>
    <col min="11527" max="11528" width="12.5546875" customWidth="1"/>
    <col min="11529" max="11529" width="10.88671875" customWidth="1"/>
    <col min="11531" max="11531" width="11.109375" customWidth="1"/>
    <col min="11777" max="11777" width="46.33203125" customWidth="1"/>
    <col min="11778" max="11778" width="12" customWidth="1"/>
    <col min="11779" max="11779" width="12.33203125" customWidth="1"/>
    <col min="11780" max="11782" width="12.109375" customWidth="1"/>
    <col min="11783" max="11784" width="12.5546875" customWidth="1"/>
    <col min="11785" max="11785" width="10.88671875" customWidth="1"/>
    <col min="11787" max="11787" width="11.109375" customWidth="1"/>
    <col min="12033" max="12033" width="46.33203125" customWidth="1"/>
    <col min="12034" max="12034" width="12" customWidth="1"/>
    <col min="12035" max="12035" width="12.33203125" customWidth="1"/>
    <col min="12036" max="12038" width="12.109375" customWidth="1"/>
    <col min="12039" max="12040" width="12.5546875" customWidth="1"/>
    <col min="12041" max="12041" width="10.88671875" customWidth="1"/>
    <col min="12043" max="12043" width="11.109375" customWidth="1"/>
    <col min="12289" max="12289" width="46.33203125" customWidth="1"/>
    <col min="12290" max="12290" width="12" customWidth="1"/>
    <col min="12291" max="12291" width="12.33203125" customWidth="1"/>
    <col min="12292" max="12294" width="12.109375" customWidth="1"/>
    <col min="12295" max="12296" width="12.5546875" customWidth="1"/>
    <col min="12297" max="12297" width="10.88671875" customWidth="1"/>
    <col min="12299" max="12299" width="11.109375" customWidth="1"/>
    <col min="12545" max="12545" width="46.33203125" customWidth="1"/>
    <col min="12546" max="12546" width="12" customWidth="1"/>
    <col min="12547" max="12547" width="12.33203125" customWidth="1"/>
    <col min="12548" max="12550" width="12.109375" customWidth="1"/>
    <col min="12551" max="12552" width="12.5546875" customWidth="1"/>
    <col min="12553" max="12553" width="10.88671875" customWidth="1"/>
    <col min="12555" max="12555" width="11.109375" customWidth="1"/>
    <col min="12801" max="12801" width="46.33203125" customWidth="1"/>
    <col min="12802" max="12802" width="12" customWidth="1"/>
    <col min="12803" max="12803" width="12.33203125" customWidth="1"/>
    <col min="12804" max="12806" width="12.109375" customWidth="1"/>
    <col min="12807" max="12808" width="12.5546875" customWidth="1"/>
    <col min="12809" max="12809" width="10.88671875" customWidth="1"/>
    <col min="12811" max="12811" width="11.109375" customWidth="1"/>
    <col min="13057" max="13057" width="46.33203125" customWidth="1"/>
    <col min="13058" max="13058" width="12" customWidth="1"/>
    <col min="13059" max="13059" width="12.33203125" customWidth="1"/>
    <col min="13060" max="13062" width="12.109375" customWidth="1"/>
    <col min="13063" max="13064" width="12.5546875" customWidth="1"/>
    <col min="13065" max="13065" width="10.88671875" customWidth="1"/>
    <col min="13067" max="13067" width="11.109375" customWidth="1"/>
    <col min="13313" max="13313" width="46.33203125" customWidth="1"/>
    <col min="13314" max="13314" width="12" customWidth="1"/>
    <col min="13315" max="13315" width="12.33203125" customWidth="1"/>
    <col min="13316" max="13318" width="12.109375" customWidth="1"/>
    <col min="13319" max="13320" width="12.5546875" customWidth="1"/>
    <col min="13321" max="13321" width="10.88671875" customWidth="1"/>
    <col min="13323" max="13323" width="11.109375" customWidth="1"/>
    <col min="13569" max="13569" width="46.33203125" customWidth="1"/>
    <col min="13570" max="13570" width="12" customWidth="1"/>
    <col min="13571" max="13571" width="12.33203125" customWidth="1"/>
    <col min="13572" max="13574" width="12.109375" customWidth="1"/>
    <col min="13575" max="13576" width="12.5546875" customWidth="1"/>
    <col min="13577" max="13577" width="10.88671875" customWidth="1"/>
    <col min="13579" max="13579" width="11.109375" customWidth="1"/>
    <col min="13825" max="13825" width="46.33203125" customWidth="1"/>
    <col min="13826" max="13826" width="12" customWidth="1"/>
    <col min="13827" max="13827" width="12.33203125" customWidth="1"/>
    <col min="13828" max="13830" width="12.109375" customWidth="1"/>
    <col min="13831" max="13832" width="12.5546875" customWidth="1"/>
    <col min="13833" max="13833" width="10.88671875" customWidth="1"/>
    <col min="13835" max="13835" width="11.109375" customWidth="1"/>
    <col min="14081" max="14081" width="46.33203125" customWidth="1"/>
    <col min="14082" max="14082" width="12" customWidth="1"/>
    <col min="14083" max="14083" width="12.33203125" customWidth="1"/>
    <col min="14084" max="14086" width="12.109375" customWidth="1"/>
    <col min="14087" max="14088" width="12.5546875" customWidth="1"/>
    <col min="14089" max="14089" width="10.88671875" customWidth="1"/>
    <col min="14091" max="14091" width="11.109375" customWidth="1"/>
    <col min="14337" max="14337" width="46.33203125" customWidth="1"/>
    <col min="14338" max="14338" width="12" customWidth="1"/>
    <col min="14339" max="14339" width="12.33203125" customWidth="1"/>
    <col min="14340" max="14342" width="12.109375" customWidth="1"/>
    <col min="14343" max="14344" width="12.5546875" customWidth="1"/>
    <col min="14345" max="14345" width="10.88671875" customWidth="1"/>
    <col min="14347" max="14347" width="11.109375" customWidth="1"/>
    <col min="14593" max="14593" width="46.33203125" customWidth="1"/>
    <col min="14594" max="14594" width="12" customWidth="1"/>
    <col min="14595" max="14595" width="12.33203125" customWidth="1"/>
    <col min="14596" max="14598" width="12.109375" customWidth="1"/>
    <col min="14599" max="14600" width="12.5546875" customWidth="1"/>
    <col min="14601" max="14601" width="10.88671875" customWidth="1"/>
    <col min="14603" max="14603" width="11.109375" customWidth="1"/>
    <col min="14849" max="14849" width="46.33203125" customWidth="1"/>
    <col min="14850" max="14850" width="12" customWidth="1"/>
    <col min="14851" max="14851" width="12.33203125" customWidth="1"/>
    <col min="14852" max="14854" width="12.109375" customWidth="1"/>
    <col min="14855" max="14856" width="12.5546875" customWidth="1"/>
    <col min="14857" max="14857" width="10.88671875" customWidth="1"/>
    <col min="14859" max="14859" width="11.109375" customWidth="1"/>
    <col min="15105" max="15105" width="46.33203125" customWidth="1"/>
    <col min="15106" max="15106" width="12" customWidth="1"/>
    <col min="15107" max="15107" width="12.33203125" customWidth="1"/>
    <col min="15108" max="15110" width="12.109375" customWidth="1"/>
    <col min="15111" max="15112" width="12.5546875" customWidth="1"/>
    <col min="15113" max="15113" width="10.88671875" customWidth="1"/>
    <col min="15115" max="15115" width="11.109375" customWidth="1"/>
    <col min="15361" max="15361" width="46.33203125" customWidth="1"/>
    <col min="15362" max="15362" width="12" customWidth="1"/>
    <col min="15363" max="15363" width="12.33203125" customWidth="1"/>
    <col min="15364" max="15366" width="12.109375" customWidth="1"/>
    <col min="15367" max="15368" width="12.5546875" customWidth="1"/>
    <col min="15369" max="15369" width="10.88671875" customWidth="1"/>
    <col min="15371" max="15371" width="11.109375" customWidth="1"/>
    <col min="15617" max="15617" width="46.33203125" customWidth="1"/>
    <col min="15618" max="15618" width="12" customWidth="1"/>
    <col min="15619" max="15619" width="12.33203125" customWidth="1"/>
    <col min="15620" max="15622" width="12.109375" customWidth="1"/>
    <col min="15623" max="15624" width="12.5546875" customWidth="1"/>
    <col min="15625" max="15625" width="10.88671875" customWidth="1"/>
    <col min="15627" max="15627" width="11.109375" customWidth="1"/>
    <col min="15873" max="15873" width="46.33203125" customWidth="1"/>
    <col min="15874" max="15874" width="12" customWidth="1"/>
    <col min="15875" max="15875" width="12.33203125" customWidth="1"/>
    <col min="15876" max="15878" width="12.109375" customWidth="1"/>
    <col min="15879" max="15880" width="12.5546875" customWidth="1"/>
    <col min="15881" max="15881" width="10.88671875" customWidth="1"/>
    <col min="15883" max="15883" width="11.109375" customWidth="1"/>
    <col min="16129" max="16129" width="46.33203125" customWidth="1"/>
    <col min="16130" max="16130" width="12" customWidth="1"/>
    <col min="16131" max="16131" width="12.33203125" customWidth="1"/>
    <col min="16132" max="16134" width="12.109375" customWidth="1"/>
    <col min="16135" max="16136" width="12.5546875" customWidth="1"/>
    <col min="16137" max="16137" width="10.88671875" customWidth="1"/>
    <col min="16139" max="16139" width="11.109375" customWidth="1"/>
  </cols>
  <sheetData>
    <row r="1" spans="1:10" ht="40.799999999999997" thickBo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4"/>
    </row>
    <row r="2" spans="1:10">
      <c r="A2" s="5" t="s">
        <v>8</v>
      </c>
      <c r="B2" s="6">
        <f>'[1]Strateegia vorm KOV'!B2+'[1]Strateegia vorm sõltuv üksus'!B242-'[1]Strateegia vorm sõltuv üksus'!B246-'[1]Strateegia vorm sõltuv üksus'!B243</f>
        <v>19234699.739999998</v>
      </c>
      <c r="C2" s="6">
        <f>'[1]Strateegia vorm KOV'!C2+'[1]Strateegia vorm sõltuv üksus'!C242-'[1]Strateegia vorm sõltuv üksus'!C246-'[1]Strateegia vorm sõltuv üksus'!C243</f>
        <v>21055851.710000001</v>
      </c>
      <c r="D2" s="6">
        <f>'[1]Strateegia vorm KOV'!D2+'[1]Strateegia vorm sõltuv üksus'!D242-'[1]Strateegia vorm sõltuv üksus'!D246-'[1]Strateegia vorm sõltuv üksus'!D243</f>
        <v>22638453</v>
      </c>
      <c r="E2" s="6">
        <f>'[1]Strateegia vorm KOV'!E2+'[1]Strateegia vorm sõltuv üksus'!E242-'[1]Strateegia vorm sõltuv üksus'!E246-'[1]Strateegia vorm sõltuv üksus'!E243</f>
        <v>22992508</v>
      </c>
      <c r="F2" s="6">
        <f>'[1]Strateegia vorm KOV'!F2+'[1]Strateegia vorm sõltuv üksus'!F242-'[1]Strateegia vorm sõltuv üksus'!F246-'[1]Strateegia vorm sõltuv üksus'!F243</f>
        <v>23743375</v>
      </c>
      <c r="G2" s="7">
        <f>'[1]Strateegia vorm KOV'!G2+'[1]Strateegia vorm sõltuv üksus'!G242-'[1]Strateegia vorm sõltuv üksus'!G246-'[1]Strateegia vorm sõltuv üksus'!G243</f>
        <v>24352663</v>
      </c>
      <c r="H2" s="7">
        <f>'[1]Strateegia vorm KOV'!H2+'[1]Strateegia vorm sõltuv üksus'!H242-'[1]Strateegia vorm sõltuv üksus'!H246-'[1]Strateegia vorm sõltuv üksus'!H243</f>
        <v>24852663</v>
      </c>
      <c r="J2" s="8"/>
    </row>
    <row r="3" spans="1:10">
      <c r="A3" s="5" t="s">
        <v>9</v>
      </c>
      <c r="B3" s="9">
        <f>'[1]Strateegia vorm KOV'!B13+'[1]Strateegia vorm sõltuv üksus'!B245-'[1]Strateegia vorm sõltuv üksus'!B246-'[1]Strateegia vorm sõltuv üksus'!B243</f>
        <v>17757782.82</v>
      </c>
      <c r="C3" s="9">
        <f>'[1]Strateegia vorm KOV'!C13+'[1]Strateegia vorm sõltuv üksus'!C245-'[1]Strateegia vorm sõltuv üksus'!C246-'[1]Strateegia vorm sõltuv üksus'!C243</f>
        <v>20358242</v>
      </c>
      <c r="D3" s="9">
        <f>'[1]Strateegia vorm KOV'!D13+'[1]Strateegia vorm sõltuv üksus'!D245-'[1]Strateegia vorm sõltuv üksus'!D246-'[1]Strateegia vorm sõltuv üksus'!D243</f>
        <v>21244638</v>
      </c>
      <c r="E3" s="9">
        <f>'[1]Strateegia vorm KOV'!E13+'[1]Strateegia vorm sõltuv üksus'!E245-'[1]Strateegia vorm sõltuv üksus'!E246-'[1]Strateegia vorm sõltuv üksus'!E243</f>
        <v>21232325.399999999</v>
      </c>
      <c r="F3" s="9">
        <f>'[1]Strateegia vorm KOV'!F13+'[1]Strateegia vorm sõltuv üksus'!F245-'[1]Strateegia vorm sõltuv üksus'!F246-'[1]Strateegia vorm sõltuv üksus'!F243</f>
        <v>21697187.208000001</v>
      </c>
      <c r="G3" s="10">
        <f>'[1]Strateegia vorm KOV'!G13+'[1]Strateegia vorm sõltuv üksus'!G245-'[1]Strateegia vorm sõltuv üksus'!G246-'[1]Strateegia vorm sõltuv üksus'!G243</f>
        <v>22196710.952160001</v>
      </c>
      <c r="H3" s="10">
        <f>'[1]Strateegia vorm KOV'!H13+'[1]Strateegia vorm sõltuv üksus'!H245-'[1]Strateegia vorm sõltuv üksus'!H246-'[1]Strateegia vorm sõltuv üksus'!H243</f>
        <v>22596065.1712032</v>
      </c>
      <c r="J3" s="8"/>
    </row>
    <row r="4" spans="1:10">
      <c r="A4" s="11" t="s">
        <v>10</v>
      </c>
      <c r="B4" s="12">
        <f>'[1]Strateegia vorm sõltuv üksus'!B247+'[1]Strateegia vorm KOV'!B18-'[1]Strateegia vorm sõltuv üksus'!B244</f>
        <v>0</v>
      </c>
      <c r="C4" s="12">
        <f>'[1]Strateegia vorm sõltuv üksus'!C247+'[1]Strateegia vorm KOV'!C18-'[1]Strateegia vorm sõltuv üksus'!C244</f>
        <v>0</v>
      </c>
      <c r="D4" s="12">
        <f>'[1]Strateegia vorm sõltuv üksus'!D247+'[1]Strateegia vorm KOV'!D18-'[1]Strateegia vorm sõltuv üksus'!D244</f>
        <v>0</v>
      </c>
      <c r="E4" s="12">
        <f>'[1]Strateegia vorm sõltuv üksus'!E247+'[1]Strateegia vorm KOV'!E18-'[1]Strateegia vorm sõltuv üksus'!E244</f>
        <v>0</v>
      </c>
      <c r="F4" s="12">
        <f>'[1]Strateegia vorm sõltuv üksus'!F247+'[1]Strateegia vorm KOV'!F18-'[1]Strateegia vorm sõltuv üksus'!F244</f>
        <v>0</v>
      </c>
      <c r="G4" s="13">
        <f>'[1]Strateegia vorm sõltuv üksus'!G247+'[1]Strateegia vorm KOV'!G18-'[1]Strateegia vorm sõltuv üksus'!G244</f>
        <v>0</v>
      </c>
      <c r="H4" s="13">
        <f>'[1]Strateegia vorm sõltuv üksus'!H247+'[1]Strateegia vorm KOV'!H18-'[1]Strateegia vorm sõltuv üksus'!H244</f>
        <v>0</v>
      </c>
      <c r="J4" s="8"/>
    </row>
    <row r="5" spans="1:10">
      <c r="A5" s="5" t="s">
        <v>11</v>
      </c>
      <c r="B5" s="9">
        <f t="shared" ref="B5:G5" si="0">B2-B3</f>
        <v>1476916.9199999981</v>
      </c>
      <c r="C5" s="9">
        <f t="shared" si="0"/>
        <v>697609.71000000089</v>
      </c>
      <c r="D5" s="9">
        <f t="shared" si="0"/>
        <v>1393815</v>
      </c>
      <c r="E5" s="9">
        <f t="shared" si="0"/>
        <v>1760182.6000000015</v>
      </c>
      <c r="F5" s="9">
        <f t="shared" si="0"/>
        <v>2046187.7919999994</v>
      </c>
      <c r="G5" s="10">
        <f t="shared" si="0"/>
        <v>2155952.0478399992</v>
      </c>
      <c r="H5" s="10">
        <f>H2-H3</f>
        <v>2256597.8287968002</v>
      </c>
    </row>
    <row r="6" spans="1:10">
      <c r="A6" s="14" t="s">
        <v>12</v>
      </c>
      <c r="B6" s="15">
        <f>'[1]Strateegia vorm KOV'!B21+'[1]Strateegia vorm sõltuv üksus'!B249-'[1]Strateegia vorm KOV'!B30-'[1]Strateegia vorm KOV'!B29</f>
        <v>-1226624.9500000002</v>
      </c>
      <c r="C6" s="15">
        <f>'[1]Strateegia vorm KOV'!C21+'[1]Strateegia vorm sõltuv üksus'!C249-'[1]Strateegia vorm KOV'!C30-'[1]Strateegia vorm KOV'!C29</f>
        <v>-1490898.24</v>
      </c>
      <c r="D6" s="15">
        <f>'[1]Strateegia vorm KOV'!D21+'[1]Strateegia vorm sõltuv üksus'!D249-'[1]Strateegia vorm KOV'!D30-'[1]Strateegia vorm KOV'!D29</f>
        <v>-1100425.6000000001</v>
      </c>
      <c r="E6" s="15">
        <f>'[1]Strateegia vorm KOV'!E21+'[1]Strateegia vorm sõltuv üksus'!E249-'[1]Strateegia vorm KOV'!E30-'[1]Strateegia vorm KOV'!E29</f>
        <v>-2281578.3328</v>
      </c>
      <c r="F6" s="15">
        <f>'[1]Strateegia vorm KOV'!F21+'[1]Strateegia vorm sõltuv üksus'!F249-'[1]Strateegia vorm KOV'!F30-'[1]Strateegia vorm KOV'!F29</f>
        <v>-2308142.6528000003</v>
      </c>
      <c r="G6" s="16">
        <f>'[1]Strateegia vorm KOV'!G21+'[1]Strateegia vorm sõltuv üksus'!G249-'[1]Strateegia vorm KOV'!G30-'[1]Strateegia vorm KOV'!G29</f>
        <v>-931944.57279999997</v>
      </c>
      <c r="H6" s="16">
        <f>'[1]Strateegia vorm KOV'!H21+'[1]Strateegia vorm sõltuv üksus'!H249-'[1]Strateegia vorm KOV'!H30-'[1]Strateegia vorm KOV'!H29</f>
        <v>-788684.86959999998</v>
      </c>
      <c r="J6" s="8"/>
    </row>
    <row r="7" spans="1:10">
      <c r="A7" s="17" t="s">
        <v>13</v>
      </c>
      <c r="B7" s="15">
        <f t="shared" ref="B7:G7" si="1">B5+B6</f>
        <v>250291.96999999788</v>
      </c>
      <c r="C7" s="15">
        <f t="shared" si="1"/>
        <v>-793288.5299999991</v>
      </c>
      <c r="D7" s="15">
        <f t="shared" si="1"/>
        <v>293389.39999999991</v>
      </c>
      <c r="E7" s="15">
        <f t="shared" si="1"/>
        <v>-521395.73279999848</v>
      </c>
      <c r="F7" s="15">
        <f t="shared" si="1"/>
        <v>-261954.86080000084</v>
      </c>
      <c r="G7" s="16">
        <f t="shared" si="1"/>
        <v>1224007.4750399992</v>
      </c>
      <c r="H7" s="16">
        <f>H5+H6</f>
        <v>1467912.9591968004</v>
      </c>
    </row>
    <row r="8" spans="1:10">
      <c r="A8" s="17" t="s">
        <v>14</v>
      </c>
      <c r="B8" s="15">
        <f>'[1]Strateegia vorm KOV'!B34+'[1]Strateegia vorm sõltuv üksus'!B251+'[1]Strateegia vorm KOV'!B30+'[1]Strateegia vorm KOV'!B29</f>
        <v>527404.15999999992</v>
      </c>
      <c r="C8" s="15">
        <f>'[1]Strateegia vorm KOV'!C34+'[1]Strateegia vorm sõltuv üksus'!C251+'[1]Strateegia vorm KOV'!C30+'[1]Strateegia vorm KOV'!C29</f>
        <v>-360176</v>
      </c>
      <c r="D8" s="15">
        <f>'[1]Strateegia vorm KOV'!D34+'[1]Strateegia vorm sõltuv üksus'!D251+'[1]Strateegia vorm KOV'!D30+'[1]Strateegia vorm KOV'!D29</f>
        <v>-622296</v>
      </c>
      <c r="E8" s="15">
        <f>'[1]Strateegia vorm KOV'!E34+'[1]Strateegia vorm sõltuv üksus'!E251+'[1]Strateegia vorm KOV'!E30+'[1]Strateegia vorm KOV'!E29</f>
        <v>664108</v>
      </c>
      <c r="F8" s="15">
        <f>'[1]Strateegia vorm KOV'!F34+'[1]Strateegia vorm sõltuv üksus'!F251+'[1]Strateegia vorm KOV'!F30+'[1]Strateegia vorm KOV'!F29</f>
        <v>470048</v>
      </c>
      <c r="G8" s="16">
        <f>'[1]Strateegia vorm KOV'!G34+'[1]Strateegia vorm sõltuv üksus'!G251+'[1]Strateegia vorm KOV'!G30+'[1]Strateegia vorm KOV'!G29</f>
        <v>-1229952</v>
      </c>
      <c r="H8" s="16">
        <f>'[1]Strateegia vorm KOV'!H34+'[1]Strateegia vorm sõltuv üksus'!H251+'[1]Strateegia vorm KOV'!H30+'[1]Strateegia vorm KOV'!H29</f>
        <v>-1179957</v>
      </c>
      <c r="J8" s="8"/>
    </row>
    <row r="9" spans="1:10" ht="27">
      <c r="A9" s="18" t="s">
        <v>15</v>
      </c>
      <c r="B9" s="15">
        <f>'[1]Strateegia vorm KOV'!B37+'[1]Strateegia vorm sõltuv üksus'!B252</f>
        <v>-20820.97</v>
      </c>
      <c r="C9" s="15">
        <f>'[1]Strateegia vorm KOV'!C37+'[1]Strateegia vorm sõltuv üksus'!C252</f>
        <v>-835227.53</v>
      </c>
      <c r="D9" s="15">
        <f>'[1]Strateegia vorm KOV'!D37+'[1]Strateegia vorm sõltuv üksus'!D252</f>
        <v>-660348.60000000009</v>
      </c>
      <c r="E9" s="15">
        <f>'[1]Strateegia vorm KOV'!E37+'[1]Strateegia vorm sõltuv üksus'!E252</f>
        <v>151938.26720000152</v>
      </c>
      <c r="F9" s="15">
        <f>'[1]Strateegia vorm KOV'!F37+'[1]Strateegia vorm sõltuv üksus'!F252</f>
        <v>208467.13919999916</v>
      </c>
      <c r="G9" s="16">
        <f>'[1]Strateegia vorm KOV'!G37+'[1]Strateegia vorm sõltuv üksus'!G252</f>
        <v>1141.4750399992336</v>
      </c>
      <c r="H9" s="16">
        <f>'[1]Strateegia vorm KOV'!H37+'[1]Strateegia vorm sõltuv üksus'!H252</f>
        <v>295041.95919680037</v>
      </c>
    </row>
    <row r="10" spans="1:10">
      <c r="A10" s="18" t="s">
        <v>16</v>
      </c>
      <c r="B10" s="15">
        <f t="shared" ref="B10:G10" si="2">B9-B7-B8</f>
        <v>-798517.09999999776</v>
      </c>
      <c r="C10" s="15">
        <f t="shared" si="2"/>
        <v>318236.99999999907</v>
      </c>
      <c r="D10" s="15">
        <f t="shared" si="2"/>
        <v>-331442</v>
      </c>
      <c r="E10" s="15">
        <f t="shared" si="2"/>
        <v>9226</v>
      </c>
      <c r="F10" s="15">
        <f t="shared" si="2"/>
        <v>374</v>
      </c>
      <c r="G10" s="16">
        <f t="shared" si="2"/>
        <v>7086</v>
      </c>
      <c r="H10" s="16">
        <f>H9-H7-H8</f>
        <v>7086</v>
      </c>
    </row>
    <row r="11" spans="1:10">
      <c r="A11" s="19"/>
      <c r="B11" s="20"/>
      <c r="C11" s="20"/>
      <c r="D11" s="20"/>
      <c r="E11" s="20"/>
      <c r="F11" s="20"/>
      <c r="G11" s="21"/>
      <c r="H11" s="21"/>
    </row>
    <row r="12" spans="1:10">
      <c r="A12" s="18" t="s">
        <v>17</v>
      </c>
      <c r="B12" s="9">
        <f>'[1]Strateegia vorm KOV'!B41+'[1]Strateegia vorm sõltuv üksus'!B255</f>
        <v>1665998.02</v>
      </c>
      <c r="C12" s="22">
        <f t="shared" ref="C12:H12" si="3">B12+C9</f>
        <v>830770.49</v>
      </c>
      <c r="D12" s="22">
        <f t="shared" si="3"/>
        <v>170421.8899999999</v>
      </c>
      <c r="E12" s="22">
        <f t="shared" si="3"/>
        <v>322360.15720000141</v>
      </c>
      <c r="F12" s="22">
        <f t="shared" si="3"/>
        <v>530827.29640000057</v>
      </c>
      <c r="G12" s="23">
        <f t="shared" si="3"/>
        <v>531968.77143999981</v>
      </c>
      <c r="H12" s="23">
        <f t="shared" si="3"/>
        <v>827010.73063680017</v>
      </c>
    </row>
    <row r="13" spans="1:10">
      <c r="A13" s="24" t="s">
        <v>18</v>
      </c>
      <c r="B13" s="9">
        <f>'[1]Strateegia vorm KOV'!B42+'[1]Strateegia vorm sõltuv üksus'!B256-'[1]Strateegia vorm sõltuv üksus'!B258-'[1]Strateegia vorm sõltuv üksus'!B259</f>
        <v>10438774.32</v>
      </c>
      <c r="C13" s="9">
        <f>'[1]Strateegia vorm KOV'!C42+'[1]Strateegia vorm sõltuv üksus'!C256-'[1]Strateegia vorm sõltuv üksus'!C258-'[1]Strateegia vorm sõltuv üksus'!C259</f>
        <v>10005698.32</v>
      </c>
      <c r="D13" s="9">
        <f>'[1]Strateegia vorm KOV'!D42+'[1]Strateegia vorm sõltuv üksus'!D256-'[1]Strateegia vorm sõltuv üksus'!D258-'[1]Strateegia vorm sõltuv üksus'!D259</f>
        <v>9383402.3200000003</v>
      </c>
      <c r="E13" s="9">
        <f>'[1]Strateegia vorm KOV'!E42+'[1]Strateegia vorm sõltuv üksus'!E256-'[1]Strateegia vorm sõltuv üksus'!E258-'[1]Strateegia vorm sõltuv üksus'!E259</f>
        <v>10047510.32</v>
      </c>
      <c r="F13" s="9">
        <f>'[1]Strateegia vorm KOV'!F42+'[1]Strateegia vorm sõltuv üksus'!F256-'[1]Strateegia vorm sõltuv üksus'!F258-'[1]Strateegia vorm sõltuv üksus'!F259</f>
        <v>10517558.32</v>
      </c>
      <c r="G13" s="10">
        <f>'[1]Strateegia vorm KOV'!G42+'[1]Strateegia vorm sõltuv üksus'!G256-'[1]Strateegia vorm sõltuv üksus'!G258-'[1]Strateegia vorm sõltuv üksus'!G259</f>
        <v>9287606.3200000003</v>
      </c>
      <c r="H13" s="10">
        <f>'[1]Strateegia vorm KOV'!H42+'[1]Strateegia vorm sõltuv üksus'!H256-'[1]Strateegia vorm sõltuv üksus'!H258-'[1]Strateegia vorm sõltuv üksus'!H259</f>
        <v>8107649.3200000003</v>
      </c>
    </row>
    <row r="14" spans="1:10" ht="20.399999999999999">
      <c r="A14" s="25" t="s">
        <v>19</v>
      </c>
      <c r="B14" s="26">
        <f>'[1]Strateegia vorm KOV'!B44+'[1]Strateegia vorm sõltuv üksus'!B257</f>
        <v>0</v>
      </c>
      <c r="C14" s="26">
        <f>'[1]Strateegia vorm KOV'!C44+'[1]Strateegia vorm sõltuv üksus'!C257</f>
        <v>0</v>
      </c>
      <c r="D14" s="26">
        <f>'[1]Strateegia vorm KOV'!D44+'[1]Strateegia vorm sõltuv üksus'!D257</f>
        <v>0</v>
      </c>
      <c r="E14" s="26">
        <f>'[1]Strateegia vorm KOV'!E44+'[1]Strateegia vorm sõltuv üksus'!E257</f>
        <v>0</v>
      </c>
      <c r="F14" s="26">
        <f>'[1]Strateegia vorm KOV'!F44+'[1]Strateegia vorm sõltuv üksus'!F257</f>
        <v>0</v>
      </c>
      <c r="G14" s="27">
        <f>'[1]Strateegia vorm KOV'!G44+'[1]Strateegia vorm sõltuv üksus'!G257</f>
        <v>0</v>
      </c>
      <c r="H14" s="27">
        <f>'[1]Strateegia vorm KOV'!H44+'[1]Strateegia vorm sõltuv üksus'!H257</f>
        <v>0</v>
      </c>
    </row>
    <row r="15" spans="1:10">
      <c r="A15" s="28" t="s">
        <v>20</v>
      </c>
      <c r="B15" s="29">
        <f t="shared" ref="B15:G15" si="4">IF(B13-B12&lt;0,0,B13-B12)</f>
        <v>8772776.3000000007</v>
      </c>
      <c r="C15" s="29">
        <f t="shared" si="4"/>
        <v>9174927.8300000001</v>
      </c>
      <c r="D15" s="29">
        <f t="shared" si="4"/>
        <v>9212980.4299999997</v>
      </c>
      <c r="E15" s="29">
        <f t="shared" si="4"/>
        <v>9725150.1627999991</v>
      </c>
      <c r="F15" s="29">
        <f t="shared" si="4"/>
        <v>9986731.023599999</v>
      </c>
      <c r="G15" s="30">
        <f t="shared" si="4"/>
        <v>8755637.548560001</v>
      </c>
      <c r="H15" s="30">
        <f>IF(H13-H12&lt;0,0,H13-H12)</f>
        <v>7280638.5893632006</v>
      </c>
    </row>
    <row r="16" spans="1:10">
      <c r="A16" s="28" t="s">
        <v>21</v>
      </c>
      <c r="B16" s="31">
        <f t="shared" ref="B16:G16" si="5">B15/B2</f>
        <v>0.45609114873555084</v>
      </c>
      <c r="C16" s="31">
        <f t="shared" si="5"/>
        <v>0.43574242240899597</v>
      </c>
      <c r="D16" s="31">
        <f t="shared" si="5"/>
        <v>0.40696157241839803</v>
      </c>
      <c r="E16" s="31">
        <f t="shared" si="5"/>
        <v>0.42297039378218326</v>
      </c>
      <c r="F16" s="31">
        <f t="shared" si="5"/>
        <v>0.42061126624163581</v>
      </c>
      <c r="G16" s="32">
        <f t="shared" si="5"/>
        <v>0.35953511731181109</v>
      </c>
      <c r="H16" s="32">
        <f>H15/H2</f>
        <v>0.29295205062585045</v>
      </c>
    </row>
    <row r="17" spans="1:10">
      <c r="A17" s="28" t="s">
        <v>22</v>
      </c>
      <c r="B17" s="26">
        <f>IF((B5+B4)*10&gt;B2,B2+B14,IF((B5+B4)*10&lt;0.8*B2,0.8*B2+B14,(B5+B4)*10+B14))</f>
        <v>15387759.791999999</v>
      </c>
      <c r="C17" s="26">
        <f>IF((C5+C4)*10&gt;C2,C2+C14,IF((C5+C4)*10&lt;0.8*C2,0.8*C2+C14,(C5+C4)*10+C14))</f>
        <v>16844681.368000001</v>
      </c>
      <c r="D17" s="26">
        <f>IF((D5+D4)*10&gt;D2,D2+D14,IF((D5+D4)*10&lt;0.8*D2,0.8*D2+D14,(D5+D4)*10+D14))</f>
        <v>18110762.400000002</v>
      </c>
      <c r="E17" s="26">
        <f>IF((E5+E4)*9&gt;E2,E2+E14,IF((E5+E4)*9&lt;0.75*E2,0.75*E2+E14,(E5+E4)*9+E14))</f>
        <v>17244381</v>
      </c>
      <c r="F17" s="26">
        <f>IF((F5+F4)*8&gt;F2,F2+F14,IF((F5+F4)*8&lt;0.7*F2,0.7*F2+F14,(F5+F4)*8+F14))</f>
        <v>16620362.499999998</v>
      </c>
      <c r="G17" s="33">
        <f>IF((G5+G4)*7&gt;G2,G2+G14,IF((G5+G4)*7&lt;0.65*G2,0.65*G2+G14,(G5+G4)*7+G14))</f>
        <v>15829230.950000001</v>
      </c>
      <c r="H17" s="33">
        <f>IF((H5+H4)*7&gt;H2,H2+H14,IF((H5+H4)*7&lt;0.65*H2,0.65*H2+H14,(H5+H4)*7+H14))</f>
        <v>16154230.950000001</v>
      </c>
      <c r="I17" s="34">
        <f>IF((I5+I4)*6&gt;I2,I2+I14,IF((I5+I4)*6&lt;0.6*I2,0.6*I2+I14,(I5+I4)*6+I14))</f>
        <v>0</v>
      </c>
      <c r="J17" s="35"/>
    </row>
    <row r="18" spans="1:10">
      <c r="A18" s="28" t="s">
        <v>23</v>
      </c>
      <c r="B18" s="36">
        <f t="shared" ref="B18:G18" si="6">B17/B2</f>
        <v>0.8</v>
      </c>
      <c r="C18" s="36">
        <f t="shared" si="6"/>
        <v>0.8</v>
      </c>
      <c r="D18" s="36">
        <f t="shared" si="6"/>
        <v>0.8</v>
      </c>
      <c r="E18" s="36">
        <f t="shared" si="6"/>
        <v>0.75</v>
      </c>
      <c r="F18" s="36">
        <f t="shared" si="6"/>
        <v>0.7</v>
      </c>
      <c r="G18" s="32">
        <f t="shared" si="6"/>
        <v>0.65</v>
      </c>
      <c r="H18" s="32">
        <f>H17/H2</f>
        <v>0.65</v>
      </c>
    </row>
    <row r="19" spans="1:10" ht="15" thickBot="1">
      <c r="A19" s="37" t="s">
        <v>24</v>
      </c>
      <c r="B19" s="38">
        <f t="shared" ref="B19:G19" si="7">B17-B15</f>
        <v>6614983.4919999987</v>
      </c>
      <c r="C19" s="38">
        <f t="shared" si="7"/>
        <v>7669753.5380000006</v>
      </c>
      <c r="D19" s="38">
        <f t="shared" si="7"/>
        <v>8897781.9700000025</v>
      </c>
      <c r="E19" s="38">
        <f t="shared" si="7"/>
        <v>7519230.8372000009</v>
      </c>
      <c r="F19" s="38">
        <f t="shared" si="7"/>
        <v>6633631.4763999991</v>
      </c>
      <c r="G19" s="39">
        <f t="shared" si="7"/>
        <v>7073593.4014400002</v>
      </c>
      <c r="H19" s="39">
        <f>H17-H15</f>
        <v>8873592.3606368005</v>
      </c>
    </row>
    <row r="21" spans="1:10">
      <c r="B21" s="40"/>
      <c r="C21" s="40"/>
      <c r="D21" s="40"/>
      <c r="E21" s="40"/>
      <c r="F21" s="40"/>
      <c r="G21" s="40"/>
      <c r="H21" s="40"/>
    </row>
    <row r="22" spans="1:10">
      <c r="B22" s="40"/>
      <c r="C22" s="40"/>
      <c r="D22" s="40"/>
      <c r="E22" s="40"/>
      <c r="F22" s="40"/>
      <c r="G22" s="40"/>
      <c r="H22" s="40"/>
    </row>
  </sheetData>
  <conditionalFormatting sqref="B19:H19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Strateegia vorm KOV</vt:lpstr>
      <vt:lpstr>Strateegia vorm sõltuv üksus</vt:lpstr>
      <vt:lpstr>Strateegia vorm arvestusüksus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 Teiva</dc:creator>
  <cp:lastModifiedBy>Marko Teiva</cp:lastModifiedBy>
  <dcterms:created xsi:type="dcterms:W3CDTF">2024-02-22T11:35:45Z</dcterms:created>
  <dcterms:modified xsi:type="dcterms:W3CDTF">2024-02-22T11:46:33Z</dcterms:modified>
</cp:coreProperties>
</file>